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ESG - HUD -MSHDA Grants 2024-2025\ESG Information 25-26\24-25 ESG - HUD-MSHDA APPLICATIONS\"/>
    </mc:Choice>
  </mc:AlternateContent>
  <xr:revisionPtr revIDLastSave="0" documentId="8_{EEC8B9FF-DF05-45A5-8567-F9930B4FF5FE}" xr6:coauthVersionLast="47" xr6:coauthVersionMax="47" xr10:uidLastSave="{00000000-0000-0000-0000-000000000000}"/>
  <bookViews>
    <workbookView xWindow="28680" yWindow="-120" windowWidth="29040" windowHeight="15720" activeTab="2" xr2:uid="{C6EE561A-35BA-4F6A-8D9A-C67DFBECD716}"/>
  </bookViews>
  <sheets>
    <sheet name="Combined Recommendations" sheetId="1" r:id="rId1"/>
    <sheet name="City Recommendation" sheetId="2" r:id="rId2"/>
    <sheet name="MSHDA Recommendation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G15" i="3"/>
  <c r="F15" i="3"/>
  <c r="F18" i="3" s="1"/>
  <c r="F19" i="3" s="1"/>
  <c r="D14" i="3"/>
  <c r="Q13" i="3"/>
  <c r="I13" i="3"/>
  <c r="H13" i="3"/>
  <c r="G13" i="3"/>
  <c r="C13" i="3"/>
  <c r="H12" i="3"/>
  <c r="G12" i="3"/>
  <c r="H11" i="3"/>
  <c r="G11" i="3"/>
  <c r="E11" i="3"/>
  <c r="C11" i="3"/>
  <c r="U10" i="3"/>
  <c r="H10" i="3"/>
  <c r="G10" i="3"/>
  <c r="E10" i="3"/>
  <c r="C10" i="3"/>
  <c r="H9" i="3"/>
  <c r="G9" i="3"/>
  <c r="E9" i="3"/>
  <c r="C9" i="3"/>
  <c r="H8" i="3"/>
  <c r="G8" i="3"/>
  <c r="C8" i="3"/>
  <c r="H7" i="3"/>
  <c r="G7" i="3"/>
  <c r="E7" i="3"/>
  <c r="C7" i="3"/>
  <c r="R6" i="3"/>
  <c r="N6" i="3"/>
  <c r="H6" i="3"/>
  <c r="G6" i="3"/>
  <c r="G18" i="3" s="1"/>
  <c r="E6" i="3"/>
  <c r="C6" i="3"/>
  <c r="H5" i="3"/>
  <c r="G5" i="3"/>
  <c r="C5" i="3"/>
  <c r="U4" i="3"/>
  <c r="Q4" i="3"/>
  <c r="R4" i="3" s="1"/>
  <c r="N4" i="3"/>
  <c r="M4" i="3"/>
  <c r="M10" i="3" s="1"/>
  <c r="I4" i="3"/>
  <c r="J4" i="3" s="1"/>
  <c r="H4" i="3"/>
  <c r="G4" i="3"/>
  <c r="E4" i="3"/>
  <c r="E14" i="3" s="1"/>
  <c r="C4" i="3"/>
  <c r="F14" i="2"/>
  <c r="G13" i="2"/>
  <c r="F13" i="2"/>
  <c r="F18" i="2" s="1"/>
  <c r="F19" i="2" s="1"/>
  <c r="E12" i="2"/>
  <c r="D12" i="2"/>
  <c r="H11" i="2"/>
  <c r="G11" i="2"/>
  <c r="C11" i="2"/>
  <c r="H10" i="2"/>
  <c r="G10" i="2"/>
  <c r="C10" i="2"/>
  <c r="H9" i="2"/>
  <c r="G9" i="2"/>
  <c r="C9" i="2"/>
  <c r="I8" i="2"/>
  <c r="H8" i="2"/>
  <c r="G8" i="2"/>
  <c r="C8" i="2"/>
  <c r="H7" i="2"/>
  <c r="G7" i="2"/>
  <c r="C7" i="2"/>
  <c r="N6" i="2"/>
  <c r="J6" i="2"/>
  <c r="H6" i="2"/>
  <c r="G6" i="2"/>
  <c r="C6" i="2"/>
  <c r="H5" i="2"/>
  <c r="G5" i="2"/>
  <c r="C5" i="2"/>
  <c r="P4" i="2"/>
  <c r="P10" i="2" s="1"/>
  <c r="M4" i="2"/>
  <c r="N4" i="2" s="1"/>
  <c r="I4" i="2"/>
  <c r="I12" i="2" s="1"/>
  <c r="H4" i="2"/>
  <c r="G4" i="2"/>
  <c r="G18" i="2" s="1"/>
  <c r="C4" i="2"/>
  <c r="E31" i="1"/>
  <c r="C29" i="1"/>
  <c r="N27" i="1"/>
  <c r="L27" i="1"/>
  <c r="J27" i="1"/>
  <c r="D27" i="1"/>
  <c r="J26" i="1"/>
  <c r="D26" i="1"/>
  <c r="L26" i="1" s="1"/>
  <c r="N26" i="1" s="1"/>
  <c r="D24" i="1"/>
  <c r="E24" i="1" s="1"/>
  <c r="C24" i="1"/>
  <c r="L23" i="1"/>
  <c r="J23" i="1"/>
  <c r="N23" i="1" s="1"/>
  <c r="E23" i="1"/>
  <c r="L22" i="1"/>
  <c r="J22" i="1"/>
  <c r="N22" i="1" s="1"/>
  <c r="E22" i="1"/>
  <c r="L21" i="1"/>
  <c r="L24" i="1" s="1"/>
  <c r="J21" i="1"/>
  <c r="N21" i="1" s="1"/>
  <c r="E21" i="1"/>
  <c r="L20" i="1"/>
  <c r="J20" i="1"/>
  <c r="J24" i="1" s="1"/>
  <c r="E20" i="1"/>
  <c r="O15" i="1"/>
  <c r="M15" i="1"/>
  <c r="L15" i="1"/>
  <c r="S15" i="1" s="1"/>
  <c r="K15" i="1"/>
  <c r="J15" i="1"/>
  <c r="N15" i="1" s="1"/>
  <c r="D15" i="1"/>
  <c r="C15" i="1"/>
  <c r="R14" i="1"/>
  <c r="O14" i="1"/>
  <c r="V14" i="1" s="1"/>
  <c r="N14" i="1"/>
  <c r="I14" i="1"/>
  <c r="E14" i="1"/>
  <c r="V13" i="1"/>
  <c r="R13" i="1"/>
  <c r="O13" i="1"/>
  <c r="N13" i="1"/>
  <c r="I13" i="1"/>
  <c r="E13" i="1"/>
  <c r="R12" i="1"/>
  <c r="O12" i="1"/>
  <c r="V12" i="1" s="1"/>
  <c r="N12" i="1"/>
  <c r="E12" i="1"/>
  <c r="V11" i="1"/>
  <c r="R11" i="1"/>
  <c r="O11" i="1"/>
  <c r="N11" i="1"/>
  <c r="I11" i="1"/>
  <c r="E11" i="1"/>
  <c r="V10" i="1"/>
  <c r="R10" i="1"/>
  <c r="O10" i="1"/>
  <c r="N10" i="1"/>
  <c r="I10" i="1"/>
  <c r="E10" i="1"/>
  <c r="R9" i="1"/>
  <c r="O9" i="1"/>
  <c r="V9" i="1" s="1"/>
  <c r="N9" i="1"/>
  <c r="I9" i="1"/>
  <c r="E9" i="1"/>
  <c r="R8" i="1"/>
  <c r="O8" i="1"/>
  <c r="V8" i="1" s="1"/>
  <c r="N8" i="1"/>
  <c r="I8" i="1"/>
  <c r="E8" i="1"/>
  <c r="V7" i="1"/>
  <c r="R7" i="1"/>
  <c r="O7" i="1"/>
  <c r="N7" i="1"/>
  <c r="I7" i="1"/>
  <c r="E7" i="1"/>
  <c r="V6" i="1"/>
  <c r="R6" i="1"/>
  <c r="O6" i="1"/>
  <c r="N6" i="1"/>
  <c r="I6" i="1"/>
  <c r="E6" i="1"/>
  <c r="R5" i="1"/>
  <c r="O5" i="1"/>
  <c r="V5" i="1" s="1"/>
  <c r="N5" i="1"/>
  <c r="I5" i="1"/>
  <c r="E5" i="1"/>
  <c r="R4" i="1"/>
  <c r="O4" i="1"/>
  <c r="V4" i="1" s="1"/>
  <c r="N4" i="1"/>
  <c r="I4" i="1"/>
  <c r="E4" i="1"/>
  <c r="V3" i="1"/>
  <c r="R3" i="1"/>
  <c r="O3" i="1"/>
  <c r="N3" i="1"/>
  <c r="I3" i="1"/>
  <c r="E3" i="1"/>
  <c r="E15" i="1" s="1"/>
  <c r="I10" i="3" l="1"/>
  <c r="I11" i="3"/>
  <c r="Q10" i="3"/>
  <c r="J4" i="2"/>
  <c r="I10" i="2"/>
  <c r="M10" i="2"/>
  <c r="J29" i="1"/>
  <c r="N24" i="1"/>
  <c r="N29" i="1" s="1"/>
  <c r="U6" i="1" s="1"/>
  <c r="Q15" i="1"/>
  <c r="L29" i="1"/>
  <c r="D29" i="1"/>
  <c r="N20" i="1"/>
  <c r="U13" i="1" l="1"/>
  <c r="Q8" i="1"/>
  <c r="Q4" i="1"/>
  <c r="Q12" i="1"/>
  <c r="Q11" i="1"/>
  <c r="Q7" i="1"/>
  <c r="Q3" i="1"/>
  <c r="Q10" i="1"/>
  <c r="Q6" i="1"/>
  <c r="Q14" i="1"/>
  <c r="Q5" i="1"/>
  <c r="Q13" i="1"/>
  <c r="Q9" i="1"/>
  <c r="U10" i="1"/>
  <c r="S11" i="1"/>
  <c r="S7" i="1"/>
  <c r="S3" i="1"/>
  <c r="T10" i="1"/>
  <c r="T6" i="1"/>
  <c r="T14" i="1"/>
  <c r="S10" i="1"/>
  <c r="S6" i="1"/>
  <c r="S14" i="1"/>
  <c r="T9" i="1"/>
  <c r="T5" i="1"/>
  <c r="T13" i="1"/>
  <c r="S9" i="1"/>
  <c r="S5" i="1"/>
  <c r="S13" i="1"/>
  <c r="T8" i="1"/>
  <c r="T4" i="1"/>
  <c r="T12" i="1"/>
  <c r="S8" i="1"/>
  <c r="S12" i="1"/>
  <c r="T11" i="1"/>
  <c r="T7" i="1"/>
  <c r="T3" i="1"/>
  <c r="S4" i="1"/>
  <c r="U4" i="1"/>
  <c r="U9" i="1"/>
  <c r="U5" i="1"/>
  <c r="U12" i="1"/>
  <c r="U11" i="1"/>
  <c r="U7" i="1"/>
  <c r="U3" i="1"/>
  <c r="U14" i="1"/>
  <c r="U15" i="1"/>
  <c r="U8" i="1"/>
</calcChain>
</file>

<file path=xl/sharedStrings.xml><?xml version="1.0" encoding="utf-8"?>
<sst xmlns="http://schemas.openxmlformats.org/spreadsheetml/2006/main" count="221" uniqueCount="84">
  <si>
    <t>FY 25-26 Requests</t>
  </si>
  <si>
    <t>FY25-26 Award</t>
  </si>
  <si>
    <t>Current Award</t>
  </si>
  <si>
    <t>Funding Request as a Percent of Estimated Allocations by Source</t>
  </si>
  <si>
    <t>Agency</t>
  </si>
  <si>
    <t>Type</t>
  </si>
  <si>
    <t>City</t>
  </si>
  <si>
    <t>MSHDA</t>
  </si>
  <si>
    <t>Total</t>
  </si>
  <si>
    <t>Score</t>
  </si>
  <si>
    <t>City ESG</t>
  </si>
  <si>
    <t>MSHDA ESG</t>
  </si>
  <si>
    <t>Combined</t>
  </si>
  <si>
    <t>Advent House</t>
  </si>
  <si>
    <t>RRH</t>
  </si>
  <si>
    <t>Child &amp; Family</t>
  </si>
  <si>
    <t>Outreach</t>
  </si>
  <si>
    <t>Prevention</t>
  </si>
  <si>
    <t>ES</t>
  </si>
  <si>
    <t>LSSCM</t>
  </si>
  <si>
    <t>Haven House</t>
  </si>
  <si>
    <t>Holy Cross</t>
  </si>
  <si>
    <t>Eastside CAC</t>
  </si>
  <si>
    <t>EVE</t>
  </si>
  <si>
    <t>Loaves &amp; Fishes</t>
  </si>
  <si>
    <t>Lifeboat Addiction</t>
  </si>
  <si>
    <t>n/a</t>
  </si>
  <si>
    <t>`</t>
  </si>
  <si>
    <t>Allocations from Funding Announcement</t>
  </si>
  <si>
    <t>Rapid Rehousing</t>
  </si>
  <si>
    <t>Sub-total</t>
  </si>
  <si>
    <t>HMIS</t>
  </si>
  <si>
    <t>Admin</t>
  </si>
  <si>
    <t>Grand Total</t>
  </si>
  <si>
    <t>FY24-25 ESG</t>
  </si>
  <si>
    <t>City of Lansing ESG Application Scoring and Funding Requests</t>
  </si>
  <si>
    <t>Request
(25-26)</t>
  </si>
  <si>
    <t>Current Actual
(24-25)</t>
  </si>
  <si>
    <t>Recommendation (25-26)</t>
  </si>
  <si>
    <t>Recommendation as % of Allocation</t>
  </si>
  <si>
    <t>Request as % of Allocation</t>
  </si>
  <si>
    <t>Shelter and Outreach Requests</t>
  </si>
  <si>
    <t>Percent of Allocation</t>
  </si>
  <si>
    <t>Prevention Requests</t>
  </si>
  <si>
    <t>Total Requests</t>
  </si>
  <si>
    <t>Funding Allocation from Announcement</t>
  </si>
  <si>
    <t>Funding Maximum for Shelter &amp; Outreach</t>
  </si>
  <si>
    <t>Funding Maximum for Prevention</t>
  </si>
  <si>
    <t>N/A</t>
  </si>
  <si>
    <t>L&amp;F</t>
  </si>
  <si>
    <r>
      <t xml:space="preserve">Difference between requests and </t>
    </r>
    <r>
      <rPr>
        <b/>
        <sz val="11"/>
        <color theme="1"/>
        <rFont val="Aptos Narrow"/>
        <family val="2"/>
        <scheme val="minor"/>
      </rPr>
      <t>announcement allocation</t>
    </r>
  </si>
  <si>
    <r>
      <t xml:space="preserve">Difference between Prev. requests and </t>
    </r>
    <r>
      <rPr>
        <b/>
        <sz val="11"/>
        <color theme="1"/>
        <rFont val="Aptos Narrow"/>
        <family val="2"/>
        <scheme val="minor"/>
      </rPr>
      <t>announcement allocation</t>
    </r>
  </si>
  <si>
    <t>Difference between Total Request and Est. Allocation</t>
  </si>
  <si>
    <t>ECAC</t>
  </si>
  <si>
    <t>more requests</t>
  </si>
  <si>
    <t>more requests than expected allocation</t>
  </si>
  <si>
    <r>
      <t xml:space="preserve">Difference between ES &amp; SO requests and </t>
    </r>
    <r>
      <rPr>
        <b/>
        <sz val="11"/>
        <color theme="1"/>
        <rFont val="Aptos Narrow"/>
        <family val="2"/>
        <scheme val="minor"/>
      </rPr>
      <t>funding maximum</t>
    </r>
  </si>
  <si>
    <t>Difference between funding maximum and requests</t>
  </si>
  <si>
    <t>Total Allocation</t>
  </si>
  <si>
    <t>difference</t>
  </si>
  <si>
    <t>FY25 allocation is used as a placeholder</t>
  </si>
  <si>
    <t>Change when FY26 allocation is known</t>
  </si>
  <si>
    <t>*Includes HMIS and Admin amounts not available to applicants</t>
  </si>
  <si>
    <t>MSHDA ESG Application Scoring and Funding Requests</t>
  </si>
  <si>
    <t xml:space="preserve"> Request (25-26)</t>
  </si>
  <si>
    <t>Shelter Requests</t>
  </si>
  <si>
    <t>Street Outreach Requests</t>
  </si>
  <si>
    <t>Prevention &amp; RRH Requests</t>
  </si>
  <si>
    <t>CFC</t>
  </si>
  <si>
    <t>Funding Maximum for Shelter</t>
  </si>
  <si>
    <t>Funding Maximum for Outreach</t>
  </si>
  <si>
    <t>Funding Maximum for Prevention &amp; RRH</t>
  </si>
  <si>
    <t>AHM</t>
  </si>
  <si>
    <r>
      <t xml:space="preserve">Difference between requets and </t>
    </r>
    <r>
      <rPr>
        <b/>
        <sz val="11"/>
        <color theme="1"/>
        <rFont val="Aptos Narrow"/>
        <family val="2"/>
        <scheme val="minor"/>
      </rPr>
      <t>announcement allocation</t>
    </r>
  </si>
  <si>
    <t>Difference between requests and Estimated allocation</t>
  </si>
  <si>
    <t>more in requests</t>
  </si>
  <si>
    <t>Total Shelter Recommendation</t>
  </si>
  <si>
    <t>Total Prevention &amp; RRH Recommendation</t>
  </si>
  <si>
    <t>Prevention funding earmarked for HARA:</t>
  </si>
  <si>
    <t>Rapid Rehousing funding earmarked for HARA:</t>
  </si>
  <si>
    <t>Additional available for Prevention or Rapid Rehousing:</t>
  </si>
  <si>
    <t>*Note: An estimated $215,578, 40% of the total MSHDA ESG allocation ($538,945 in 2024), is earmarked the HARA agency, per MSHDA grant requirements, which is currently Advent House Ministries.</t>
  </si>
  <si>
    <t>FY24 allocation is used as a placeholder</t>
  </si>
  <si>
    <t>Change when FY25 allocation is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</si>
</sst>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3" tint="0.3999755851924192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65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ck">
        <color auto="1"/>
      </right>
      <top/>
      <bottom style="thin">
        <color theme="1" tint="0.24994659260841701"/>
      </bottom>
      <diagonal/>
    </border>
    <border>
      <left style="thick">
        <color auto="1"/>
      </left>
      <right/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ck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thick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 style="thick">
        <color auto="1"/>
      </right>
      <top style="thin">
        <color theme="1" tint="0.24994659260841701"/>
      </top>
      <bottom style="medium">
        <color indexed="64"/>
      </bottom>
      <diagonal/>
    </border>
    <border>
      <left style="thick">
        <color auto="1"/>
      </left>
      <right/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24994659260841701"/>
      </bottom>
      <diagonal/>
    </border>
    <border>
      <left/>
      <right/>
      <top style="medium">
        <color indexed="64"/>
      </top>
      <bottom style="thin">
        <color theme="1" tint="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1" tint="0.24994659260841701"/>
      </bottom>
      <diagonal/>
    </border>
    <border>
      <left style="medium">
        <color auto="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 style="medium">
        <color auto="1"/>
      </right>
      <top style="thin">
        <color theme="1" tint="0.24994659260841701"/>
      </top>
      <bottom style="thin">
        <color indexed="64"/>
      </bottom>
      <diagonal/>
    </border>
    <border>
      <left style="medium">
        <color auto="1"/>
      </left>
      <right/>
      <top style="thin">
        <color theme="1" tint="0.24994659260841701"/>
      </top>
      <bottom style="thin">
        <color indexed="64"/>
      </bottom>
      <diagonal/>
    </border>
    <border>
      <left/>
      <right style="thick">
        <color auto="1"/>
      </right>
      <top style="thin">
        <color theme="1" tint="0.2499465926084170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theme="1" tint="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theme="0" tint="-0.24994659260841701"/>
      </bottom>
      <diagonal/>
    </border>
    <border>
      <left/>
      <right/>
      <top style="thin">
        <color rgb="FFFF0000"/>
      </top>
      <bottom style="thin">
        <color theme="0" tint="-0.24994659260841701"/>
      </bottom>
      <diagonal/>
    </border>
    <border>
      <left/>
      <right style="thin">
        <color rgb="FFFF0000"/>
      </right>
      <top style="thin">
        <color rgb="FFFF0000"/>
      </top>
      <bottom style="thin">
        <color theme="0" tint="-0.24994659260841701"/>
      </bottom>
      <diagonal/>
    </border>
    <border>
      <left style="thin">
        <color rgb="FFFF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0000"/>
      </left>
      <right/>
      <top style="thin">
        <color theme="0" tint="-0.24994659260841701"/>
      </top>
      <bottom style="thin">
        <color rgb="FFFF0000"/>
      </bottom>
      <diagonal/>
    </border>
    <border>
      <left/>
      <right/>
      <top style="thin">
        <color theme="0" tint="-0.24994659260841701"/>
      </top>
      <bottom style="thin">
        <color rgb="FFFF0000"/>
      </bottom>
      <diagonal/>
    </border>
    <border>
      <left/>
      <right style="thin">
        <color rgb="FFFF0000"/>
      </right>
      <top style="thin">
        <color theme="0" tint="-0.24994659260841701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2" xfId="0" applyFont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0" borderId="3" xfId="0" applyFont="1" applyBorder="1"/>
    <xf numFmtId="0" fontId="2" fillId="2" borderId="4" xfId="0" applyFont="1" applyFill="1" applyBorder="1"/>
    <xf numFmtId="0" fontId="2" fillId="0" borderId="8" xfId="0" applyFont="1" applyBorder="1"/>
    <xf numFmtId="0" fontId="0" fillId="2" borderId="3" xfId="0" applyFill="1" applyBorder="1"/>
    <xf numFmtId="0" fontId="0" fillId="0" borderId="9" xfId="0" applyBorder="1"/>
    <xf numFmtId="164" fontId="0" fillId="3" borderId="9" xfId="1" applyNumberFormat="1" applyFont="1" applyFill="1" applyBorder="1"/>
    <xf numFmtId="164" fontId="0" fillId="4" borderId="9" xfId="1" applyNumberFormat="1" applyFont="1" applyFill="1" applyBorder="1"/>
    <xf numFmtId="164" fontId="0" fillId="5" borderId="9" xfId="1" applyNumberFormat="1" applyFont="1" applyFill="1" applyBorder="1"/>
    <xf numFmtId="9" fontId="0" fillId="0" borderId="9" xfId="0" applyNumberFormat="1" applyBorder="1"/>
    <xf numFmtId="164" fontId="0" fillId="0" borderId="9" xfId="1" applyNumberFormat="1" applyFont="1" applyBorder="1"/>
    <xf numFmtId="164" fontId="0" fillId="2" borderId="10" xfId="1" applyNumberFormat="1" applyFont="1" applyFill="1" applyBorder="1"/>
    <xf numFmtId="164" fontId="0" fillId="6" borderId="11" xfId="1" applyNumberFormat="1" applyFont="1" applyFill="1" applyBorder="1"/>
    <xf numFmtId="164" fontId="0" fillId="6" borderId="10" xfId="1" applyNumberFormat="1" applyFont="1" applyFill="1" applyBorder="1"/>
    <xf numFmtId="164" fontId="0" fillId="0" borderId="11" xfId="1" applyNumberFormat="1" applyFont="1" applyFill="1" applyBorder="1"/>
    <xf numFmtId="164" fontId="0" fillId="2" borderId="12" xfId="1" applyNumberFormat="1" applyFont="1" applyFill="1" applyBorder="1"/>
    <xf numFmtId="0" fontId="0" fillId="0" borderId="9" xfId="0" applyBorder="1" applyAlignment="1">
      <alignment horizontal="center"/>
    </xf>
    <xf numFmtId="9" fontId="0" fillId="0" borderId="9" xfId="2" applyFont="1" applyBorder="1"/>
    <xf numFmtId="9" fontId="0" fillId="2" borderId="10" xfId="2" applyFont="1" applyFill="1" applyBorder="1"/>
    <xf numFmtId="9" fontId="0" fillId="0" borderId="11" xfId="2" applyFont="1" applyBorder="1"/>
    <xf numFmtId="9" fontId="0" fillId="2" borderId="9" xfId="2" applyFont="1" applyFill="1" applyBorder="1"/>
    <xf numFmtId="0" fontId="0" fillId="0" borderId="13" xfId="0" applyBorder="1"/>
    <xf numFmtId="9" fontId="0" fillId="0" borderId="13" xfId="0" applyNumberFormat="1" applyBorder="1"/>
    <xf numFmtId="164" fontId="0" fillId="0" borderId="13" xfId="1" applyNumberFormat="1" applyFont="1" applyFill="1" applyBorder="1"/>
    <xf numFmtId="164" fontId="0" fillId="2" borderId="14" xfId="1" applyNumberFormat="1" applyFont="1" applyFill="1" applyBorder="1"/>
    <xf numFmtId="164" fontId="0" fillId="0" borderId="15" xfId="1" applyNumberFormat="1" applyFont="1" applyFill="1" applyBorder="1"/>
    <xf numFmtId="164" fontId="0" fillId="0" borderId="15" xfId="1" applyNumberFormat="1" applyFont="1" applyBorder="1"/>
    <xf numFmtId="164" fontId="0" fillId="2" borderId="16" xfId="1" applyNumberFormat="1" applyFont="1" applyFill="1" applyBorder="1"/>
    <xf numFmtId="164" fontId="0" fillId="3" borderId="13" xfId="1" applyNumberFormat="1" applyFont="1" applyFill="1" applyBorder="1"/>
    <xf numFmtId="164" fontId="0" fillId="4" borderId="13" xfId="1" applyNumberFormat="1" applyFont="1" applyFill="1" applyBorder="1"/>
    <xf numFmtId="164" fontId="0" fillId="5" borderId="13" xfId="1" applyNumberFormat="1" applyFont="1" applyFill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left"/>
    </xf>
    <xf numFmtId="164" fontId="0" fillId="6" borderId="13" xfId="1" applyNumberFormat="1" applyFont="1" applyFill="1" applyBorder="1" applyAlignment="1">
      <alignment horizontal="center"/>
    </xf>
    <xf numFmtId="164" fontId="0" fillId="6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2" borderId="14" xfId="1" applyNumberFormat="1" applyFont="1" applyFill="1" applyBorder="1" applyAlignment="1">
      <alignment horizontal="center"/>
    </xf>
    <xf numFmtId="164" fontId="0" fillId="6" borderId="13" xfId="1" applyNumberFormat="1" applyFont="1" applyFill="1" applyBorder="1"/>
    <xf numFmtId="164" fontId="0" fillId="6" borderId="14" xfId="1" applyNumberFormat="1" applyFont="1" applyFill="1" applyBorder="1"/>
    <xf numFmtId="0" fontId="0" fillId="0" borderId="17" xfId="0" applyBorder="1"/>
    <xf numFmtId="0" fontId="0" fillId="0" borderId="18" xfId="0" applyBorder="1"/>
    <xf numFmtId="164" fontId="0" fillId="7" borderId="13" xfId="1" applyNumberFormat="1" applyFont="1" applyFill="1" applyBorder="1"/>
    <xf numFmtId="164" fontId="0" fillId="7" borderId="14" xfId="1" applyNumberFormat="1" applyFont="1" applyFill="1" applyBorder="1"/>
    <xf numFmtId="164" fontId="0" fillId="0" borderId="13" xfId="1" applyNumberFormat="1" applyFont="1" applyBorder="1"/>
    <xf numFmtId="0" fontId="0" fillId="0" borderId="19" xfId="0" applyBorder="1"/>
    <xf numFmtId="164" fontId="0" fillId="3" borderId="19" xfId="1" applyNumberFormat="1" applyFont="1" applyFill="1" applyBorder="1"/>
    <xf numFmtId="164" fontId="0" fillId="4" borderId="19" xfId="1" applyNumberFormat="1" applyFont="1" applyFill="1" applyBorder="1"/>
    <xf numFmtId="164" fontId="0" fillId="5" borderId="19" xfId="1" applyNumberFormat="1" applyFont="1" applyFill="1" applyBorder="1"/>
    <xf numFmtId="9" fontId="0" fillId="0" borderId="19" xfId="0" applyNumberFormat="1" applyBorder="1"/>
    <xf numFmtId="164" fontId="0" fillId="0" borderId="19" xfId="1" applyNumberFormat="1" applyFont="1" applyFill="1" applyBorder="1"/>
    <xf numFmtId="164" fontId="0" fillId="2" borderId="20" xfId="1" applyNumberFormat="1" applyFont="1" applyFill="1" applyBorder="1"/>
    <xf numFmtId="164" fontId="0" fillId="6" borderId="21" xfId="1" applyNumberFormat="1" applyFont="1" applyFill="1" applyBorder="1"/>
    <xf numFmtId="164" fontId="0" fillId="6" borderId="20" xfId="1" applyNumberFormat="1" applyFont="1" applyFill="1" applyBorder="1"/>
    <xf numFmtId="164" fontId="0" fillId="0" borderId="21" xfId="1" applyNumberFormat="1" applyFont="1" applyFill="1" applyBorder="1"/>
    <xf numFmtId="164" fontId="0" fillId="2" borderId="22" xfId="1" applyNumberFormat="1" applyFont="1" applyFill="1" applyBorder="1"/>
    <xf numFmtId="9" fontId="0" fillId="0" borderId="19" xfId="2" applyFont="1" applyBorder="1"/>
    <xf numFmtId="9" fontId="0" fillId="2" borderId="20" xfId="2" applyFont="1" applyFill="1" applyBorder="1"/>
    <xf numFmtId="9" fontId="0" fillId="0" borderId="21" xfId="2" applyFont="1" applyBorder="1"/>
    <xf numFmtId="9" fontId="0" fillId="2" borderId="19" xfId="2" applyFont="1" applyFill="1" applyBorder="1"/>
    <xf numFmtId="164" fontId="0" fillId="3" borderId="0" xfId="1" applyNumberFormat="1" applyFont="1" applyFill="1"/>
    <xf numFmtId="164" fontId="0" fillId="4" borderId="0" xfId="1" applyNumberFormat="1" applyFont="1" applyFill="1"/>
    <xf numFmtId="164" fontId="0" fillId="5" borderId="0" xfId="1" applyNumberFormat="1" applyFont="1" applyFill="1"/>
    <xf numFmtId="0" fontId="2" fillId="0" borderId="0" xfId="0" applyFont="1"/>
    <xf numFmtId="164" fontId="0" fillId="0" borderId="0" xfId="1" applyNumberFormat="1" applyFont="1" applyFill="1"/>
    <xf numFmtId="164" fontId="0" fillId="2" borderId="1" xfId="1" applyNumberFormat="1" applyFont="1" applyFill="1" applyBorder="1"/>
    <xf numFmtId="164" fontId="0" fillId="0" borderId="7" xfId="1" applyNumberFormat="1" applyFont="1" applyFill="1" applyBorder="1"/>
    <xf numFmtId="164" fontId="0" fillId="2" borderId="23" xfId="1" applyNumberFormat="1" applyFont="1" applyFill="1" applyBorder="1"/>
    <xf numFmtId="9" fontId="0" fillId="0" borderId="0" xfId="2" applyFont="1"/>
    <xf numFmtId="9" fontId="0" fillId="0" borderId="1" xfId="2" applyFont="1" applyBorder="1"/>
    <xf numFmtId="9" fontId="0" fillId="0" borderId="7" xfId="2" applyFont="1" applyBorder="1"/>
    <xf numFmtId="165" fontId="0" fillId="0" borderId="7" xfId="2" applyNumberFormat="1" applyFont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0" fillId="0" borderId="0" xfId="0" applyNumberFormat="1"/>
    <xf numFmtId="0" fontId="0" fillId="5" borderId="23" xfId="0" applyFill="1" applyBorder="1"/>
    <xf numFmtId="164" fontId="0" fillId="3" borderId="0" xfId="0" applyNumberFormat="1" applyFill="1"/>
    <xf numFmtId="164" fontId="0" fillId="4" borderId="0" xfId="0" applyNumberFormat="1" applyFill="1"/>
    <xf numFmtId="164" fontId="0" fillId="5" borderId="23" xfId="0" applyNumberFormat="1" applyFill="1" applyBorder="1"/>
    <xf numFmtId="164" fontId="0" fillId="5" borderId="0" xfId="0" applyNumberFormat="1" applyFill="1"/>
    <xf numFmtId="0" fontId="0" fillId="0" borderId="24" xfId="0" applyBorder="1"/>
    <xf numFmtId="164" fontId="0" fillId="3" borderId="24" xfId="1" applyNumberFormat="1" applyFont="1" applyFill="1" applyBorder="1"/>
    <xf numFmtId="164" fontId="0" fillId="4" borderId="24" xfId="1" applyNumberFormat="1" applyFont="1" applyFill="1" applyBorder="1"/>
    <xf numFmtId="164" fontId="0" fillId="5" borderId="24" xfId="1" applyNumberFormat="1" applyFont="1" applyFill="1" applyBorder="1"/>
    <xf numFmtId="164" fontId="0" fillId="3" borderId="24" xfId="0" applyNumberFormat="1" applyFill="1" applyBorder="1"/>
    <xf numFmtId="164" fontId="0" fillId="4" borderId="24" xfId="0" applyNumberFormat="1" applyFill="1" applyBorder="1"/>
    <xf numFmtId="164" fontId="0" fillId="5" borderId="25" xfId="0" applyNumberFormat="1" applyFill="1" applyBorder="1"/>
    <xf numFmtId="164" fontId="0" fillId="0" borderId="0" xfId="1" applyNumberFormat="1" applyFont="1"/>
    <xf numFmtId="0" fontId="0" fillId="0" borderId="26" xfId="0" applyBorder="1"/>
    <xf numFmtId="0" fontId="0" fillId="0" borderId="26" xfId="0" applyBorder="1" applyAlignment="1">
      <alignment horizontal="right"/>
    </xf>
    <xf numFmtId="164" fontId="0" fillId="0" borderId="26" xfId="1" applyNumberFormat="1" applyFont="1" applyBorder="1"/>
    <xf numFmtId="164" fontId="0" fillId="3" borderId="26" xfId="0" applyNumberFormat="1" applyFill="1" applyBorder="1"/>
    <xf numFmtId="164" fontId="0" fillId="4" borderId="26" xfId="0" applyNumberFormat="1" applyFill="1" applyBorder="1"/>
    <xf numFmtId="164" fontId="0" fillId="5" borderId="27" xfId="1" applyNumberFormat="1" applyFont="1" applyFill="1" applyBorder="1"/>
    <xf numFmtId="164" fontId="0" fillId="5" borderId="0" xfId="1" applyNumberFormat="1" applyFont="1" applyFill="1" applyBorder="1"/>
    <xf numFmtId="3" fontId="0" fillId="0" borderId="0" xfId="0" applyNumberFormat="1"/>
    <xf numFmtId="0" fontId="2" fillId="0" borderId="28" xfId="0" applyFont="1" applyBorder="1"/>
    <xf numFmtId="0" fontId="0" fillId="0" borderId="29" xfId="0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0" fillId="6" borderId="0" xfId="0" applyFill="1"/>
    <xf numFmtId="0" fontId="0" fillId="0" borderId="31" xfId="0" applyBorder="1"/>
    <xf numFmtId="0" fontId="0" fillId="0" borderId="32" xfId="0" applyBorder="1"/>
    <xf numFmtId="9" fontId="0" fillId="0" borderId="33" xfId="0" applyNumberFormat="1" applyBorder="1"/>
    <xf numFmtId="164" fontId="0" fillId="0" borderId="31" xfId="1" applyNumberFormat="1" applyFont="1" applyBorder="1"/>
    <xf numFmtId="164" fontId="2" fillId="8" borderId="0" xfId="1" applyNumberFormat="1" applyFont="1" applyFill="1" applyBorder="1"/>
    <xf numFmtId="9" fontId="2" fillId="8" borderId="0" xfId="2" applyFont="1" applyFill="1" applyBorder="1"/>
    <xf numFmtId="6" fontId="0" fillId="0" borderId="0" xfId="0" applyNumberFormat="1"/>
    <xf numFmtId="9" fontId="0" fillId="0" borderId="0" xfId="0" applyNumberFormat="1"/>
    <xf numFmtId="0" fontId="0" fillId="0" borderId="34" xfId="0" applyBorder="1"/>
    <xf numFmtId="9" fontId="0" fillId="0" borderId="35" xfId="0" applyNumberFormat="1" applyBorder="1"/>
    <xf numFmtId="164" fontId="0" fillId="0" borderId="34" xfId="1" applyNumberFormat="1" applyFont="1" applyFill="1" applyBorder="1"/>
    <xf numFmtId="0" fontId="0" fillId="0" borderId="0" xfId="0" applyAlignment="1">
      <alignment horizontal="left" wrapText="1"/>
    </xf>
    <xf numFmtId="6" fontId="0" fillId="0" borderId="0" xfId="0" applyNumberFormat="1" applyAlignment="1">
      <alignment horizontal="right"/>
    </xf>
    <xf numFmtId="0" fontId="0" fillId="0" borderId="36" xfId="0" applyBorder="1"/>
    <xf numFmtId="9" fontId="0" fillId="0" borderId="37" xfId="0" applyNumberFormat="1" applyBorder="1"/>
    <xf numFmtId="164" fontId="0" fillId="0" borderId="38" xfId="1" applyNumberFormat="1" applyFont="1" applyBorder="1"/>
    <xf numFmtId="164" fontId="0" fillId="2" borderId="39" xfId="1" applyNumberFormat="1" applyFont="1" applyFill="1" applyBorder="1"/>
    <xf numFmtId="164" fontId="0" fillId="8" borderId="0" xfId="1" applyNumberFormat="1" applyFont="1" applyFill="1" applyBorder="1"/>
    <xf numFmtId="0" fontId="0" fillId="0" borderId="0" xfId="0" applyAlignment="1">
      <alignment wrapText="1"/>
    </xf>
    <xf numFmtId="0" fontId="0" fillId="0" borderId="2" xfId="0" applyBorder="1"/>
    <xf numFmtId="9" fontId="0" fillId="0" borderId="40" xfId="0" applyNumberFormat="1" applyBorder="1"/>
    <xf numFmtId="164" fontId="0" fillId="0" borderId="41" xfId="1" applyNumberFormat="1" applyFont="1" applyFill="1" applyBorder="1"/>
    <xf numFmtId="164" fontId="0" fillId="2" borderId="42" xfId="1" applyNumberFormat="1" applyFont="1" applyFill="1" applyBorder="1"/>
    <xf numFmtId="164" fontId="0" fillId="0" borderId="29" xfId="1" applyNumberFormat="1" applyFont="1" applyFill="1" applyBorder="1"/>
    <xf numFmtId="164" fontId="0" fillId="2" borderId="0" xfId="1" applyNumberFormat="1" applyFont="1" applyFill="1" applyBorder="1"/>
    <xf numFmtId="164" fontId="2" fillId="0" borderId="0" xfId="0" applyNumberFormat="1" applyFont="1"/>
    <xf numFmtId="9" fontId="2" fillId="0" borderId="0" xfId="2" applyFont="1"/>
    <xf numFmtId="1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/>
    <xf numFmtId="0" fontId="0" fillId="9" borderId="43" xfId="0" applyFill="1" applyBorder="1"/>
    <xf numFmtId="0" fontId="0" fillId="9" borderId="44" xfId="0" applyFill="1" applyBorder="1"/>
    <xf numFmtId="43" fontId="0" fillId="0" borderId="0" xfId="0" applyNumberFormat="1"/>
    <xf numFmtId="0" fontId="2" fillId="0" borderId="8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6" borderId="0" xfId="0" applyFont="1" applyFill="1"/>
    <xf numFmtId="0" fontId="5" fillId="0" borderId="0" xfId="0" applyFont="1"/>
    <xf numFmtId="164" fontId="0" fillId="0" borderId="11" xfId="1" applyNumberFormat="1" applyFont="1" applyFill="1" applyBorder="1" applyAlignment="1">
      <alignment horizontal="center"/>
    </xf>
    <xf numFmtId="164" fontId="0" fillId="2" borderId="10" xfId="1" applyNumberFormat="1" applyFont="1" applyFill="1" applyBorder="1" applyAlignment="1">
      <alignment horizontal="center"/>
    </xf>
    <xf numFmtId="0" fontId="0" fillId="0" borderId="13" xfId="0" applyBorder="1" applyAlignment="1">
      <alignment horizontal="left" wrapText="1"/>
    </xf>
    <xf numFmtId="165" fontId="0" fillId="0" borderId="13" xfId="0" applyNumberFormat="1" applyBorder="1"/>
    <xf numFmtId="0" fontId="0" fillId="0" borderId="36" xfId="0" applyBorder="1" applyAlignment="1">
      <alignment horizontal="left"/>
    </xf>
    <xf numFmtId="165" fontId="0" fillId="0" borderId="36" xfId="0" applyNumberFormat="1" applyBorder="1"/>
    <xf numFmtId="164" fontId="0" fillId="0" borderId="45" xfId="1" applyNumberFormat="1" applyFont="1" applyFill="1" applyBorder="1"/>
    <xf numFmtId="9" fontId="0" fillId="0" borderId="46" xfId="0" applyNumberFormat="1" applyBorder="1"/>
    <xf numFmtId="164" fontId="0" fillId="0" borderId="47" xfId="1" applyNumberFormat="1" applyFont="1" applyFill="1" applyBorder="1"/>
    <xf numFmtId="164" fontId="0" fillId="2" borderId="48" xfId="1" applyNumberFormat="1" applyFont="1" applyFill="1" applyBorder="1"/>
    <xf numFmtId="0" fontId="0" fillId="0" borderId="0" xfId="0" applyAlignment="1">
      <alignment horizontal="left"/>
    </xf>
    <xf numFmtId="9" fontId="0" fillId="0" borderId="49" xfId="0" applyNumberFormat="1" applyBorder="1" applyAlignment="1">
      <alignment horizontal="center"/>
    </xf>
    <xf numFmtId="164" fontId="0" fillId="0" borderId="50" xfId="1" applyNumberFormat="1" applyFont="1" applyFill="1" applyBorder="1"/>
    <xf numFmtId="164" fontId="0" fillId="2" borderId="51" xfId="1" applyNumberFormat="1" applyFont="1" applyFill="1" applyBorder="1"/>
    <xf numFmtId="6" fontId="0" fillId="0" borderId="0" xfId="0" applyNumberFormat="1" applyAlignment="1">
      <alignment horizontal="center" vertical="center" wrapText="1"/>
    </xf>
    <xf numFmtId="9" fontId="0" fillId="0" borderId="2" xfId="0" applyNumberFormat="1" applyBorder="1"/>
    <xf numFmtId="164" fontId="0" fillId="0" borderId="52" xfId="1" applyNumberFormat="1" applyFont="1" applyFill="1" applyBorder="1"/>
    <xf numFmtId="164" fontId="2" fillId="8" borderId="0" xfId="0" applyNumberFormat="1" applyFont="1" applyFill="1"/>
    <xf numFmtId="6" fontId="0" fillId="4" borderId="54" xfId="0" applyNumberFormat="1" applyFill="1" applyBorder="1"/>
    <xf numFmtId="0" fontId="0" fillId="4" borderId="54" xfId="0" applyFill="1" applyBorder="1"/>
    <xf numFmtId="0" fontId="0" fillId="4" borderId="55" xfId="0" applyFill="1" applyBorder="1"/>
    <xf numFmtId="6" fontId="0" fillId="4" borderId="57" xfId="0" applyNumberFormat="1" applyFill="1" applyBorder="1"/>
    <xf numFmtId="0" fontId="0" fillId="4" borderId="57" xfId="0" applyFill="1" applyBorder="1"/>
    <xf numFmtId="164" fontId="0" fillId="4" borderId="58" xfId="0" applyNumberFormat="1" applyFill="1" applyBorder="1"/>
    <xf numFmtId="6" fontId="0" fillId="4" borderId="60" xfId="0" applyNumberFormat="1" applyFill="1" applyBorder="1"/>
    <xf numFmtId="0" fontId="0" fillId="4" borderId="60" xfId="0" applyFill="1" applyBorder="1"/>
    <xf numFmtId="0" fontId="0" fillId="4" borderId="61" xfId="0" applyFill="1" applyBorder="1"/>
    <xf numFmtId="3" fontId="0" fillId="9" borderId="44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4" borderId="62" xfId="0" applyFill="1" applyBorder="1" applyAlignment="1">
      <alignment horizontal="left" wrapText="1"/>
    </xf>
    <xf numFmtId="0" fontId="0" fillId="4" borderId="63" xfId="0" applyFill="1" applyBorder="1" applyAlignment="1">
      <alignment horizontal="left" wrapText="1"/>
    </xf>
    <xf numFmtId="0" fontId="0" fillId="4" borderId="64" xfId="0" applyFill="1" applyBorder="1" applyAlignment="1">
      <alignment horizontal="left" wrapText="1"/>
    </xf>
    <xf numFmtId="0" fontId="0" fillId="4" borderId="53" xfId="0" applyFill="1" applyBorder="1" applyAlignment="1">
      <alignment horizontal="left" wrapText="1"/>
    </xf>
    <xf numFmtId="0" fontId="0" fillId="4" borderId="54" xfId="0" applyFill="1" applyBorder="1" applyAlignment="1">
      <alignment horizontal="left" wrapText="1"/>
    </xf>
    <xf numFmtId="0" fontId="0" fillId="4" borderId="56" xfId="0" applyFill="1" applyBorder="1" applyAlignment="1">
      <alignment horizontal="left" wrapText="1"/>
    </xf>
    <xf numFmtId="0" fontId="0" fillId="4" borderId="57" xfId="0" applyFill="1" applyBorder="1" applyAlignment="1">
      <alignment horizontal="left" wrapText="1"/>
    </xf>
    <xf numFmtId="0" fontId="0" fillId="4" borderId="59" xfId="0" applyFill="1" applyBorder="1" applyAlignment="1">
      <alignment horizontal="left" wrapText="1"/>
    </xf>
    <xf numFmtId="0" fontId="0" fillId="4" borderId="60" xfId="0" applyFill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uman_Relations_and_Community_Services_Staff\Aa%20Human%20Services%20Docs\ESG\PY2025%20-%20HUD%20ESG%20FY25-26\FY25-26%20ESG%20Application\Applications\ESG%20scoring%20sheet_2025_FinComMtg.xlsx" TargetMode="External"/><Relationship Id="rId1" Type="http://schemas.openxmlformats.org/officeDocument/2006/relationships/externalLinkPath" Target="file:///S:\Human_Relations_and_Community_Services_Staff\Aa%20Human%20Services%20Docs\ESG\PY2025%20-%20HUD%20ESG%20FY25-26\FY25-26%20ESG%20Application\Applications\ESG%20scoring%20sheet_2025_FinComM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re Totals"/>
      <sheetName val="City ranking"/>
      <sheetName val="City ranking (2)"/>
      <sheetName val="CityESG Recommendation"/>
      <sheetName val="MSHDA ranking"/>
      <sheetName val="Recommendation template"/>
      <sheetName val="MSHDA ranking (2)"/>
      <sheetName val="Requests Combined"/>
      <sheetName val="Combined Recommendations"/>
      <sheetName val="App1 AH-Outreach Score"/>
      <sheetName val="App2 AHM-Prev Score"/>
      <sheetName val="App3 CFC-Shelter Score"/>
      <sheetName val="App4 CFC-Outreach Score"/>
      <sheetName val="App5 EVE-Shelter Score"/>
      <sheetName val="App6 HavenHouse-Shelter Score"/>
      <sheetName val="App7 L&amp;F-Shelter Score"/>
      <sheetName val="App8 LSSCM-Prev Score"/>
      <sheetName val="App9 HCS Shelter Score"/>
      <sheetName val="App10 ECAC Prev Score"/>
      <sheetName val="App11 AHM-RRH Score"/>
      <sheetName val="Picklist values"/>
    </sheetNames>
    <sheetDataSet>
      <sheetData sheetId="0">
        <row r="21">
          <cell r="F21">
            <v>0.95338983050847448</v>
          </cell>
          <cell r="G21">
            <v>0.84463276836158196</v>
          </cell>
          <cell r="H21">
            <v>0.93220338983050832</v>
          </cell>
          <cell r="I21">
            <v>0.80084745762711862</v>
          </cell>
          <cell r="J21">
            <v>0.84887005649717506</v>
          </cell>
          <cell r="K21">
            <v>0.74348958333333337</v>
          </cell>
          <cell r="L21">
            <v>0.81779661016949157</v>
          </cell>
          <cell r="M21">
            <v>0.80598958333333337</v>
          </cell>
          <cell r="N21">
            <v>0.76302083333333337</v>
          </cell>
          <cell r="O21">
            <v>0.77683615819209029</v>
          </cell>
          <cell r="P21">
            <v>0.95903954802259883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AB10-E074-4491-9932-34E3022CB770}">
  <dimension ref="A1:Y31"/>
  <sheetViews>
    <sheetView topLeftCell="A5" workbookViewId="0">
      <selection activeCell="L22" sqref="L22"/>
    </sheetView>
  </sheetViews>
  <sheetFormatPr defaultRowHeight="15" x14ac:dyDescent="0.25"/>
  <cols>
    <col min="1" max="1" width="24.140625" customWidth="1"/>
    <col min="2" max="2" width="11.140625" bestFit="1" customWidth="1"/>
    <col min="3" max="3" width="9.85546875" customWidth="1"/>
    <col min="4" max="4" width="10" customWidth="1"/>
    <col min="5" max="5" width="12" bestFit="1" customWidth="1"/>
    <col min="6" max="6" width="8.7109375" customWidth="1"/>
    <col min="7" max="7" width="20.5703125" customWidth="1"/>
    <col min="8" max="8" width="11.140625" bestFit="1" customWidth="1"/>
    <col min="9" max="9" width="6.140625" bestFit="1" customWidth="1"/>
    <col min="10" max="11" width="9" bestFit="1" customWidth="1"/>
    <col min="12" max="12" width="11.28515625" bestFit="1" customWidth="1"/>
    <col min="13" max="13" width="9" bestFit="1" customWidth="1"/>
    <col min="14" max="14" width="10.5703125" bestFit="1" customWidth="1"/>
    <col min="15" max="15" width="9" bestFit="1" customWidth="1"/>
    <col min="16" max="16" width="8.140625" customWidth="1"/>
    <col min="17" max="17" width="8.28515625" bestFit="1" customWidth="1"/>
    <col min="18" max="18" width="7.85546875" bestFit="1" customWidth="1"/>
    <col min="19" max="19" width="11.5703125" bestFit="1" customWidth="1"/>
    <col min="20" max="20" width="4.5703125" bestFit="1" customWidth="1"/>
    <col min="21" max="21" width="11.28515625" customWidth="1"/>
    <col min="22" max="22" width="11" customWidth="1"/>
    <col min="24" max="24" width="1.5703125" bestFit="1" customWidth="1"/>
  </cols>
  <sheetData>
    <row r="1" spans="1:25" ht="30.75" x14ac:dyDescent="0.3">
      <c r="A1" s="1" t="s">
        <v>0</v>
      </c>
      <c r="J1" s="2" t="s">
        <v>1</v>
      </c>
      <c r="K1" s="3" t="s">
        <v>2</v>
      </c>
      <c r="L1" s="2" t="s">
        <v>1</v>
      </c>
      <c r="M1" s="3" t="s">
        <v>2</v>
      </c>
      <c r="N1" s="2" t="s">
        <v>1</v>
      </c>
      <c r="O1" s="4" t="s">
        <v>2</v>
      </c>
      <c r="Q1" s="176" t="s">
        <v>3</v>
      </c>
      <c r="R1" s="176"/>
      <c r="S1" s="176"/>
      <c r="T1" s="176"/>
      <c r="U1" s="176"/>
    </row>
    <row r="2" spans="1:25" ht="15.75" thickBot="1" x14ac:dyDescent="0.3">
      <c r="A2" s="5" t="s">
        <v>4</v>
      </c>
      <c r="B2" s="5" t="s">
        <v>5</v>
      </c>
      <c r="C2" s="6" t="s">
        <v>6</v>
      </c>
      <c r="D2" s="7" t="s">
        <v>7</v>
      </c>
      <c r="E2" s="8" t="s">
        <v>8</v>
      </c>
      <c r="G2" s="9" t="s">
        <v>4</v>
      </c>
      <c r="H2" s="9" t="s">
        <v>5</v>
      </c>
      <c r="I2" s="9" t="s">
        <v>9</v>
      </c>
      <c r="J2" s="177" t="s">
        <v>10</v>
      </c>
      <c r="K2" s="178"/>
      <c r="L2" s="178" t="s">
        <v>11</v>
      </c>
      <c r="M2" s="178"/>
      <c r="N2" s="179" t="s">
        <v>8</v>
      </c>
      <c r="O2" s="180"/>
      <c r="Q2" s="9" t="s">
        <v>10</v>
      </c>
      <c r="R2" s="10"/>
      <c r="S2" s="11" t="s">
        <v>11</v>
      </c>
      <c r="T2" s="10"/>
      <c r="U2" s="11" t="s">
        <v>12</v>
      </c>
      <c r="V2" s="12"/>
    </row>
    <row r="3" spans="1:25" s="13" customFormat="1" ht="21" customHeight="1" x14ac:dyDescent="0.25">
      <c r="A3" s="13" t="s">
        <v>13</v>
      </c>
      <c r="B3" s="13" t="s">
        <v>14</v>
      </c>
      <c r="C3" s="14">
        <v>0</v>
      </c>
      <c r="D3" s="15">
        <v>199409</v>
      </c>
      <c r="E3" s="16">
        <f t="shared" ref="E3:E13" si="0">C3+D3</f>
        <v>199409</v>
      </c>
      <c r="F3"/>
      <c r="G3" s="13" t="s">
        <v>15</v>
      </c>
      <c r="H3" s="13" t="s">
        <v>16</v>
      </c>
      <c r="I3" s="17">
        <f>'[1]Score Totals'!P21</f>
        <v>0.95903954802259883</v>
      </c>
      <c r="J3" s="18">
        <v>5357</v>
      </c>
      <c r="K3" s="19">
        <v>5460</v>
      </c>
      <c r="L3" s="20">
        <v>0</v>
      </c>
      <c r="M3" s="21">
        <v>0</v>
      </c>
      <c r="N3" s="22">
        <f t="shared" ref="N3:O15" si="1">J3+L3</f>
        <v>5357</v>
      </c>
      <c r="O3" s="23">
        <f t="shared" si="1"/>
        <v>5460</v>
      </c>
      <c r="P3" s="24"/>
      <c r="Q3" s="25">
        <f>J3/$J$29</f>
        <v>3.000263230113525E-2</v>
      </c>
      <c r="R3" s="26">
        <f>K3/$C$31</f>
        <v>3.0002637594513805E-2</v>
      </c>
      <c r="S3" s="27">
        <f>L3/$L$29</f>
        <v>0</v>
      </c>
      <c r="T3" s="26">
        <f>M3/$L$29</f>
        <v>0</v>
      </c>
      <c r="U3" s="27">
        <f>N3/$N$29</f>
        <v>7.4662437142506716E-3</v>
      </c>
      <c r="V3" s="28">
        <f>O3/$E$31</f>
        <v>7.5735613354435734E-3</v>
      </c>
    </row>
    <row r="4" spans="1:25" s="29" customFormat="1" ht="21" customHeight="1" x14ac:dyDescent="0.25">
      <c r="A4" s="13" t="s">
        <v>13</v>
      </c>
      <c r="B4" s="13" t="s">
        <v>17</v>
      </c>
      <c r="C4" s="14">
        <v>0</v>
      </c>
      <c r="D4" s="15">
        <v>91621</v>
      </c>
      <c r="E4" s="16">
        <f t="shared" si="0"/>
        <v>91621</v>
      </c>
      <c r="F4"/>
      <c r="G4" s="29" t="s">
        <v>15</v>
      </c>
      <c r="H4" s="29" t="s">
        <v>18</v>
      </c>
      <c r="I4" s="30">
        <f>'[1]Score Totals'!F21</f>
        <v>0.95338983050847448</v>
      </c>
      <c r="J4" s="31">
        <v>26211</v>
      </c>
      <c r="K4" s="32">
        <v>26211</v>
      </c>
      <c r="L4" s="33">
        <v>43116</v>
      </c>
      <c r="M4" s="32">
        <v>43116</v>
      </c>
      <c r="N4" s="34">
        <f t="shared" si="1"/>
        <v>69327</v>
      </c>
      <c r="O4" s="35">
        <f t="shared" si="1"/>
        <v>69327</v>
      </c>
      <c r="Q4" s="25">
        <f t="shared" ref="Q4:Q14" si="2">J4/$J$29</f>
        <v>0.14679839373624343</v>
      </c>
      <c r="R4" s="26">
        <f t="shared" ref="R4:R14" si="3">K4/$C$31</f>
        <v>0.14402914541937753</v>
      </c>
      <c r="S4" s="27">
        <f t="shared" ref="S4:T14" si="4">L4/$L$29</f>
        <v>8.0000742190761587E-2</v>
      </c>
      <c r="T4" s="26">
        <f t="shared" si="4"/>
        <v>8.0000742190761587E-2</v>
      </c>
      <c r="U4" s="27">
        <f t="shared" ref="U4:U14" si="5">N4/$N$29</f>
        <v>9.6623535183471401E-2</v>
      </c>
      <c r="V4" s="28">
        <f t="shared" ref="V4:V14" si="6">O4/$E$31</f>
        <v>9.6163422472948096E-2</v>
      </c>
    </row>
    <row r="5" spans="1:25" s="29" customFormat="1" ht="21" customHeight="1" x14ac:dyDescent="0.25">
      <c r="A5" s="13" t="s">
        <v>13</v>
      </c>
      <c r="B5" s="13" t="s">
        <v>16</v>
      </c>
      <c r="C5" s="14">
        <v>0</v>
      </c>
      <c r="D5" s="15">
        <v>21650</v>
      </c>
      <c r="E5" s="16">
        <f t="shared" si="0"/>
        <v>21650</v>
      </c>
      <c r="F5"/>
      <c r="G5" s="29" t="s">
        <v>19</v>
      </c>
      <c r="H5" s="29" t="s">
        <v>17</v>
      </c>
      <c r="I5" s="30">
        <f>'[1]Score Totals'!M21</f>
        <v>0.80598958333333337</v>
      </c>
      <c r="J5" s="31">
        <v>58922</v>
      </c>
      <c r="K5" s="32">
        <v>60055</v>
      </c>
      <c r="L5" s="33">
        <v>0</v>
      </c>
      <c r="M5" s="32">
        <v>0</v>
      </c>
      <c r="N5" s="34">
        <f t="shared" si="1"/>
        <v>58922</v>
      </c>
      <c r="O5" s="35">
        <f t="shared" si="1"/>
        <v>60055</v>
      </c>
      <c r="Q5" s="25">
        <f t="shared" si="2"/>
        <v>0.33000095210892127</v>
      </c>
      <c r="R5" s="26">
        <f t="shared" si="3"/>
        <v>0.3300015385967997</v>
      </c>
      <c r="S5" s="27">
        <f t="shared" si="4"/>
        <v>0</v>
      </c>
      <c r="T5" s="26">
        <f t="shared" si="4"/>
        <v>0</v>
      </c>
      <c r="U5" s="27">
        <f t="shared" si="5"/>
        <v>8.2121712176792622E-2</v>
      </c>
      <c r="V5" s="28">
        <f t="shared" si="6"/>
        <v>8.3302239194150876E-2</v>
      </c>
    </row>
    <row r="6" spans="1:25" s="29" customFormat="1" ht="21" customHeight="1" x14ac:dyDescent="0.25">
      <c r="A6" s="13" t="s">
        <v>15</v>
      </c>
      <c r="B6" s="13" t="s">
        <v>18</v>
      </c>
      <c r="C6" s="14">
        <v>30000</v>
      </c>
      <c r="D6" s="15">
        <v>50000</v>
      </c>
      <c r="E6" s="16">
        <f t="shared" si="0"/>
        <v>80000</v>
      </c>
      <c r="F6"/>
      <c r="G6" s="29" t="s">
        <v>20</v>
      </c>
      <c r="H6" s="29" t="s">
        <v>18</v>
      </c>
      <c r="I6" s="30">
        <f>'[1]Score Totals'!H21</f>
        <v>0.93220338983050832</v>
      </c>
      <c r="J6" s="31">
        <v>0</v>
      </c>
      <c r="K6" s="32">
        <v>0</v>
      </c>
      <c r="L6" s="33">
        <v>53895</v>
      </c>
      <c r="M6" s="32">
        <v>53895</v>
      </c>
      <c r="N6" s="34">
        <f t="shared" si="1"/>
        <v>53895</v>
      </c>
      <c r="O6" s="35">
        <f t="shared" si="1"/>
        <v>53895</v>
      </c>
      <c r="Q6" s="25">
        <f t="shared" si="2"/>
        <v>0</v>
      </c>
      <c r="R6" s="26">
        <f t="shared" si="3"/>
        <v>0</v>
      </c>
      <c r="S6" s="27">
        <f t="shared" si="4"/>
        <v>0.10000092773845197</v>
      </c>
      <c r="T6" s="26">
        <f t="shared" si="4"/>
        <v>0.10000092773845197</v>
      </c>
      <c r="U6" s="27">
        <f t="shared" si="5"/>
        <v>7.5115401340216534E-2</v>
      </c>
      <c r="V6" s="28">
        <f t="shared" si="6"/>
        <v>7.4757708456727356E-2</v>
      </c>
    </row>
    <row r="7" spans="1:25" s="29" customFormat="1" ht="21" customHeight="1" x14ac:dyDescent="0.25">
      <c r="A7" s="29" t="s">
        <v>15</v>
      </c>
      <c r="B7" s="29" t="s">
        <v>16</v>
      </c>
      <c r="C7" s="36">
        <v>5460</v>
      </c>
      <c r="D7" s="37">
        <v>0</v>
      </c>
      <c r="E7" s="38">
        <f t="shared" si="0"/>
        <v>5460</v>
      </c>
      <c r="F7"/>
      <c r="G7" s="29" t="s">
        <v>21</v>
      </c>
      <c r="H7" s="29" t="s">
        <v>18</v>
      </c>
      <c r="I7" s="30">
        <f>'[1]Score Totals'!I21</f>
        <v>0.80084745762711862</v>
      </c>
      <c r="J7" s="31">
        <v>42375</v>
      </c>
      <c r="K7" s="32">
        <v>44229</v>
      </c>
      <c r="L7" s="33">
        <v>48505</v>
      </c>
      <c r="M7" s="32">
        <v>48505</v>
      </c>
      <c r="N7" s="34">
        <f t="shared" si="1"/>
        <v>90880</v>
      </c>
      <c r="O7" s="35">
        <f t="shared" si="1"/>
        <v>92734</v>
      </c>
      <c r="Q7" s="25">
        <f t="shared" si="2"/>
        <v>0.23732715022598586</v>
      </c>
      <c r="R7" s="26">
        <f t="shared" si="3"/>
        <v>0.24303784948127308</v>
      </c>
      <c r="S7" s="27">
        <f t="shared" si="4"/>
        <v>8.9999907226154807E-2</v>
      </c>
      <c r="T7" s="26">
        <f t="shared" si="4"/>
        <v>8.9999907226154807E-2</v>
      </c>
      <c r="U7" s="27">
        <f t="shared" si="5"/>
        <v>0.12666272703959325</v>
      </c>
      <c r="V7" s="28">
        <f t="shared" si="6"/>
        <v>0.12863125217601179</v>
      </c>
    </row>
    <row r="8" spans="1:25" s="29" customFormat="1" ht="21" customHeight="1" x14ac:dyDescent="0.25">
      <c r="A8" s="29" t="s">
        <v>22</v>
      </c>
      <c r="B8" s="29" t="s">
        <v>17</v>
      </c>
      <c r="C8" s="36">
        <v>30000</v>
      </c>
      <c r="D8" s="37">
        <v>30000</v>
      </c>
      <c r="E8" s="38">
        <f t="shared" si="0"/>
        <v>60000</v>
      </c>
      <c r="F8" s="39"/>
      <c r="G8" s="40" t="s">
        <v>13</v>
      </c>
      <c r="H8" s="40" t="s">
        <v>16</v>
      </c>
      <c r="I8" s="30">
        <f>'[1]Score Totals'!O21</f>
        <v>0.77683615819209029</v>
      </c>
      <c r="J8" s="41">
        <v>0</v>
      </c>
      <c r="K8" s="42">
        <v>0</v>
      </c>
      <c r="L8" s="43">
        <v>21558</v>
      </c>
      <c r="M8" s="44">
        <v>0</v>
      </c>
      <c r="N8" s="33">
        <f t="shared" si="1"/>
        <v>21558</v>
      </c>
      <c r="O8" s="35">
        <f t="shared" si="1"/>
        <v>0</v>
      </c>
      <c r="Q8" s="25">
        <f t="shared" si="2"/>
        <v>0</v>
      </c>
      <c r="R8" s="26">
        <f t="shared" si="3"/>
        <v>0</v>
      </c>
      <c r="S8" s="27">
        <f t="shared" si="4"/>
        <v>4.0000371095380793E-2</v>
      </c>
      <c r="T8" s="26">
        <f t="shared" si="4"/>
        <v>0</v>
      </c>
      <c r="U8" s="27">
        <f t="shared" si="5"/>
        <v>3.0046160536086611E-2</v>
      </c>
      <c r="V8" s="28">
        <f t="shared" si="6"/>
        <v>0</v>
      </c>
    </row>
    <row r="9" spans="1:25" s="29" customFormat="1" ht="21" customHeight="1" x14ac:dyDescent="0.25">
      <c r="A9" s="29" t="s">
        <v>23</v>
      </c>
      <c r="B9" s="29" t="s">
        <v>18</v>
      </c>
      <c r="C9" s="36">
        <v>15000</v>
      </c>
      <c r="D9" s="37">
        <v>0</v>
      </c>
      <c r="E9" s="38">
        <f t="shared" si="0"/>
        <v>15000</v>
      </c>
      <c r="F9"/>
      <c r="G9" s="29" t="s">
        <v>13</v>
      </c>
      <c r="H9" s="29" t="s">
        <v>14</v>
      </c>
      <c r="I9" s="30">
        <f>'[1]Score Totals'!N21</f>
        <v>0.76302083333333337</v>
      </c>
      <c r="J9" s="45">
        <v>0</v>
      </c>
      <c r="K9" s="46">
        <v>0</v>
      </c>
      <c r="L9" s="34">
        <v>190967</v>
      </c>
      <c r="M9" s="32">
        <v>199409</v>
      </c>
      <c r="N9" s="33">
        <f t="shared" si="1"/>
        <v>190967</v>
      </c>
      <c r="O9" s="35">
        <f t="shared" si="1"/>
        <v>199409</v>
      </c>
      <c r="Q9" s="25">
        <f t="shared" si="2"/>
        <v>0</v>
      </c>
      <c r="R9" s="26">
        <f t="shared" si="3"/>
        <v>0</v>
      </c>
      <c r="S9" s="27">
        <f t="shared" si="4"/>
        <v>0.35433485791685609</v>
      </c>
      <c r="T9" s="26">
        <f t="shared" si="4"/>
        <v>0.36999879394001245</v>
      </c>
      <c r="U9" s="27">
        <f t="shared" si="5"/>
        <v>0.26615758136630729</v>
      </c>
      <c r="V9" s="28">
        <f t="shared" si="6"/>
        <v>0.27660005354202705</v>
      </c>
    </row>
    <row r="10" spans="1:25" s="47" customFormat="1" ht="21" customHeight="1" x14ac:dyDescent="0.25">
      <c r="A10" s="29" t="s">
        <v>20</v>
      </c>
      <c r="B10" s="29" t="s">
        <v>18</v>
      </c>
      <c r="C10" s="36">
        <v>26676</v>
      </c>
      <c r="D10" s="37">
        <v>80000</v>
      </c>
      <c r="E10" s="38">
        <f t="shared" si="0"/>
        <v>106676</v>
      </c>
      <c r="F10"/>
      <c r="G10" s="29" t="s">
        <v>13</v>
      </c>
      <c r="H10" s="29" t="s">
        <v>17</v>
      </c>
      <c r="I10" s="30">
        <f>'[1]Score Totals'!K21</f>
        <v>0.74348958333333337</v>
      </c>
      <c r="J10" s="45">
        <v>0</v>
      </c>
      <c r="K10" s="46">
        <v>0</v>
      </c>
      <c r="L10" s="34">
        <v>80063</v>
      </c>
      <c r="M10" s="32">
        <v>91621</v>
      </c>
      <c r="N10" s="43">
        <f t="shared" si="1"/>
        <v>80063</v>
      </c>
      <c r="O10" s="35">
        <f t="shared" si="1"/>
        <v>91621</v>
      </c>
      <c r="P10" s="29"/>
      <c r="Q10" s="25">
        <f t="shared" si="2"/>
        <v>0</v>
      </c>
      <c r="R10" s="26">
        <f t="shared" si="3"/>
        <v>0</v>
      </c>
      <c r="S10" s="27">
        <f t="shared" si="4"/>
        <v>0.14855504736104796</v>
      </c>
      <c r="T10" s="26">
        <f t="shared" si="4"/>
        <v>0.17000064941691639</v>
      </c>
      <c r="U10" s="27">
        <f t="shared" si="5"/>
        <v>0.11158668480381773</v>
      </c>
      <c r="V10" s="28">
        <f t="shared" si="6"/>
        <v>0.12708741082686367</v>
      </c>
      <c r="W10" s="29"/>
      <c r="X10" s="29"/>
      <c r="Y10" s="29"/>
    </row>
    <row r="11" spans="1:25" s="48" customFormat="1" ht="21" customHeight="1" x14ac:dyDescent="0.25">
      <c r="A11" s="29" t="s">
        <v>21</v>
      </c>
      <c r="B11" s="29" t="s">
        <v>18</v>
      </c>
      <c r="C11" s="36">
        <v>56784</v>
      </c>
      <c r="D11" s="37">
        <v>101376</v>
      </c>
      <c r="E11" s="38">
        <f t="shared" si="0"/>
        <v>158160</v>
      </c>
      <c r="F11"/>
      <c r="G11" s="29" t="s">
        <v>24</v>
      </c>
      <c r="H11" s="29" t="s">
        <v>18</v>
      </c>
      <c r="I11" s="30">
        <f>'[1]Score Totals'!J21</f>
        <v>0.84887005649717506</v>
      </c>
      <c r="J11" s="31">
        <v>17831</v>
      </c>
      <c r="K11" s="32">
        <v>17831</v>
      </c>
      <c r="L11" s="33">
        <v>16168</v>
      </c>
      <c r="M11" s="32">
        <v>16168</v>
      </c>
      <c r="N11" s="33">
        <f t="shared" si="1"/>
        <v>33999</v>
      </c>
      <c r="O11" s="35">
        <f t="shared" si="1"/>
        <v>33999</v>
      </c>
      <c r="P11" s="29"/>
      <c r="Q11" s="25">
        <f t="shared" si="2"/>
        <v>9.9865024558809523E-2</v>
      </c>
      <c r="R11" s="26">
        <f t="shared" si="3"/>
        <v>9.798114119922631E-2</v>
      </c>
      <c r="S11" s="27">
        <f t="shared" si="4"/>
        <v>2.9999350583083617E-2</v>
      </c>
      <c r="T11" s="26">
        <f t="shared" si="4"/>
        <v>2.9999350583083617E-2</v>
      </c>
      <c r="U11" s="27">
        <f t="shared" si="5"/>
        <v>4.7385630024418257E-2</v>
      </c>
      <c r="V11" s="28">
        <f t="shared" si="6"/>
        <v>4.7159983854165942E-2</v>
      </c>
      <c r="W11" s="29"/>
      <c r="X11" s="29"/>
      <c r="Y11" s="29"/>
    </row>
    <row r="12" spans="1:25" ht="21" customHeight="1" x14ac:dyDescent="0.25">
      <c r="A12" s="29" t="s">
        <v>25</v>
      </c>
      <c r="B12" s="29" t="s">
        <v>16</v>
      </c>
      <c r="C12" s="36">
        <v>0</v>
      </c>
      <c r="D12" s="37">
        <v>0</v>
      </c>
      <c r="E12" s="38">
        <f t="shared" si="0"/>
        <v>0</v>
      </c>
      <c r="G12" s="29" t="s">
        <v>25</v>
      </c>
      <c r="H12" s="29" t="s">
        <v>16</v>
      </c>
      <c r="I12" s="30" t="s">
        <v>26</v>
      </c>
      <c r="J12" s="49">
        <v>0</v>
      </c>
      <c r="K12" s="50">
        <v>0</v>
      </c>
      <c r="L12" s="33">
        <v>0</v>
      </c>
      <c r="M12" s="32">
        <v>21558</v>
      </c>
      <c r="N12" s="33">
        <f t="shared" si="1"/>
        <v>0</v>
      </c>
      <c r="O12" s="35">
        <f t="shared" si="1"/>
        <v>21558</v>
      </c>
      <c r="P12" s="29"/>
      <c r="Q12" s="25">
        <f t="shared" si="2"/>
        <v>0</v>
      </c>
      <c r="R12" s="26">
        <f t="shared" si="3"/>
        <v>0</v>
      </c>
      <c r="S12" s="27">
        <f t="shared" si="4"/>
        <v>0</v>
      </c>
      <c r="T12" s="26">
        <f t="shared" si="4"/>
        <v>4.0000371095380793E-2</v>
      </c>
      <c r="U12" s="27">
        <f t="shared" si="5"/>
        <v>0</v>
      </c>
      <c r="V12" s="28">
        <f t="shared" si="6"/>
        <v>2.9903083382690945E-2</v>
      </c>
      <c r="W12" s="29"/>
      <c r="X12" s="29"/>
      <c r="Y12" s="29"/>
    </row>
    <row r="13" spans="1:25" ht="21.75" customHeight="1" x14ac:dyDescent="0.25">
      <c r="A13" s="29" t="s">
        <v>24</v>
      </c>
      <c r="B13" s="29" t="s">
        <v>18</v>
      </c>
      <c r="C13" s="36">
        <v>51740</v>
      </c>
      <c r="D13" s="37">
        <v>57365</v>
      </c>
      <c r="E13" s="38">
        <f t="shared" si="0"/>
        <v>109105</v>
      </c>
      <c r="G13" s="29" t="s">
        <v>22</v>
      </c>
      <c r="H13" s="29" t="s">
        <v>17</v>
      </c>
      <c r="I13" s="30">
        <f>'[1]Score Totals'!L21</f>
        <v>0.81779661016949157</v>
      </c>
      <c r="J13" s="51">
        <v>0</v>
      </c>
      <c r="K13" s="32">
        <v>0</v>
      </c>
      <c r="L13" s="34">
        <v>20000</v>
      </c>
      <c r="M13" s="32">
        <v>0</v>
      </c>
      <c r="N13" s="33">
        <f t="shared" si="1"/>
        <v>20000</v>
      </c>
      <c r="O13" s="35">
        <f t="shared" si="1"/>
        <v>0</v>
      </c>
      <c r="P13" s="29"/>
      <c r="Q13" s="25">
        <f t="shared" si="2"/>
        <v>0</v>
      </c>
      <c r="R13" s="26">
        <f t="shared" si="3"/>
        <v>0</v>
      </c>
      <c r="S13" s="27">
        <f t="shared" si="4"/>
        <v>3.7109538079024763E-2</v>
      </c>
      <c r="T13" s="26">
        <f t="shared" si="4"/>
        <v>0</v>
      </c>
      <c r="U13" s="27">
        <f t="shared" si="5"/>
        <v>2.7874719859065415E-2</v>
      </c>
      <c r="V13" s="28">
        <f t="shared" si="6"/>
        <v>0</v>
      </c>
      <c r="W13" s="29"/>
      <c r="X13" s="29"/>
      <c r="Y13" s="29"/>
    </row>
    <row r="14" spans="1:25" ht="15.75" thickBot="1" x14ac:dyDescent="0.3">
      <c r="A14" s="52" t="s">
        <v>19</v>
      </c>
      <c r="B14" s="52" t="s">
        <v>17</v>
      </c>
      <c r="C14" s="53">
        <v>60055</v>
      </c>
      <c r="D14" s="54">
        <v>91621</v>
      </c>
      <c r="E14" s="55">
        <f>C14+D14</f>
        <v>151676</v>
      </c>
      <c r="G14" s="52" t="s">
        <v>23</v>
      </c>
      <c r="H14" s="52" t="s">
        <v>18</v>
      </c>
      <c r="I14" s="56">
        <f>'[1]Score Totals'!G21</f>
        <v>0.84463276836158196</v>
      </c>
      <c r="J14" s="57">
        <v>10000</v>
      </c>
      <c r="K14" s="58">
        <v>10000</v>
      </c>
      <c r="L14" s="59">
        <v>0</v>
      </c>
      <c r="M14" s="60">
        <v>0</v>
      </c>
      <c r="N14" s="61">
        <f t="shared" si="1"/>
        <v>10000</v>
      </c>
      <c r="O14" s="62">
        <f t="shared" si="1"/>
        <v>10000</v>
      </c>
      <c r="P14" s="52"/>
      <c r="Q14" s="63">
        <f t="shared" si="2"/>
        <v>5.6006407132976013E-2</v>
      </c>
      <c r="R14" s="64">
        <f t="shared" si="3"/>
        <v>5.4949885704237734E-2</v>
      </c>
      <c r="S14" s="65">
        <f t="shared" si="4"/>
        <v>0</v>
      </c>
      <c r="T14" s="64">
        <f t="shared" si="4"/>
        <v>0</v>
      </c>
      <c r="U14" s="65">
        <f t="shared" si="5"/>
        <v>1.3937359929532708E-2</v>
      </c>
      <c r="V14" s="66">
        <f t="shared" si="6"/>
        <v>1.3870991456856361E-2</v>
      </c>
      <c r="W14" s="52"/>
      <c r="X14" s="47" t="s">
        <v>27</v>
      </c>
      <c r="Y14" s="47"/>
    </row>
    <row r="15" spans="1:25" ht="21.75" customHeight="1" x14ac:dyDescent="0.25">
      <c r="B15" t="s">
        <v>8</v>
      </c>
      <c r="C15" s="67">
        <f>SUM(C3:C14)</f>
        <v>275715</v>
      </c>
      <c r="D15" s="68">
        <f>SUM(D3:D14)</f>
        <v>723042</v>
      </c>
      <c r="E15" s="69">
        <f>SUM(E3:E14)</f>
        <v>998757</v>
      </c>
      <c r="I15" s="70" t="s">
        <v>8</v>
      </c>
      <c r="J15" s="71">
        <f>SUM(J3:J14)</f>
        <v>160696</v>
      </c>
      <c r="K15" s="72">
        <f>SUM(K3:K14)</f>
        <v>163786</v>
      </c>
      <c r="L15" s="73">
        <f>SUM(L3:L14)</f>
        <v>474272</v>
      </c>
      <c r="M15" s="72">
        <f>SUM(M3:M14)</f>
        <v>474272</v>
      </c>
      <c r="N15" s="73">
        <f t="shared" si="1"/>
        <v>634968</v>
      </c>
      <c r="O15" s="74">
        <f t="shared" si="1"/>
        <v>638058</v>
      </c>
      <c r="Q15" s="75">
        <f>J15/$J$24</f>
        <v>1</v>
      </c>
      <c r="R15" s="76"/>
      <c r="S15" s="77">
        <f>L15/$L$24</f>
        <v>1</v>
      </c>
      <c r="T15" s="76"/>
      <c r="U15" s="78">
        <f>N15/$N$24</f>
        <v>1</v>
      </c>
      <c r="X15" s="48"/>
      <c r="Y15" s="48"/>
    </row>
    <row r="16" spans="1:25" ht="15.95" customHeight="1" x14ac:dyDescent="0.25"/>
    <row r="17" spans="1:20" ht="6.75" customHeight="1" x14ac:dyDescent="0.25">
      <c r="C17" s="79"/>
      <c r="D17" s="80"/>
      <c r="E17" s="81"/>
      <c r="J17" s="79"/>
      <c r="K17" s="79"/>
      <c r="L17" s="80"/>
      <c r="M17" s="80"/>
      <c r="N17" s="81"/>
      <c r="O17" s="81"/>
      <c r="S17" s="82"/>
      <c r="T17" s="82"/>
    </row>
    <row r="18" spans="1:20" ht="16.5" customHeight="1" x14ac:dyDescent="0.25">
      <c r="A18" s="181" t="s">
        <v>28</v>
      </c>
      <c r="C18" s="79"/>
      <c r="D18" s="80"/>
      <c r="E18" s="81"/>
      <c r="G18" s="181" t="s">
        <v>28</v>
      </c>
      <c r="J18" s="79"/>
      <c r="K18" s="79"/>
      <c r="L18" s="80"/>
      <c r="M18" s="80"/>
      <c r="N18" s="81"/>
      <c r="O18" s="81"/>
      <c r="Q18" s="82"/>
      <c r="R18" s="82"/>
    </row>
    <row r="19" spans="1:20" ht="16.5" customHeight="1" x14ac:dyDescent="0.25">
      <c r="A19" s="181"/>
      <c r="C19" s="79" t="s">
        <v>6</v>
      </c>
      <c r="D19" s="80" t="s">
        <v>7</v>
      </c>
      <c r="E19" s="81" t="s">
        <v>8</v>
      </c>
      <c r="G19" s="181"/>
      <c r="J19" s="79" t="s">
        <v>10</v>
      </c>
      <c r="K19" s="79"/>
      <c r="L19" s="80" t="s">
        <v>11</v>
      </c>
      <c r="M19" s="80"/>
      <c r="N19" s="83" t="s">
        <v>8</v>
      </c>
      <c r="O19" s="81"/>
    </row>
    <row r="20" spans="1:20" ht="16.5" customHeight="1" x14ac:dyDescent="0.25">
      <c r="A20" s="181"/>
      <c r="B20" t="s">
        <v>18</v>
      </c>
      <c r="C20" s="67">
        <v>96417</v>
      </c>
      <c r="D20" s="68">
        <v>161684</v>
      </c>
      <c r="E20" s="69">
        <f>SUM(C20:D20)</f>
        <v>258101</v>
      </c>
      <c r="G20" s="181"/>
      <c r="H20" t="s">
        <v>18</v>
      </c>
      <c r="J20" s="84">
        <f>C20</f>
        <v>96417</v>
      </c>
      <c r="K20" s="84"/>
      <c r="L20" s="85">
        <f>D20</f>
        <v>161684</v>
      </c>
      <c r="M20" s="85"/>
      <c r="N20" s="86">
        <f>SUM(J20:L20)</f>
        <v>258101</v>
      </c>
      <c r="O20" s="87"/>
    </row>
    <row r="21" spans="1:20" x14ac:dyDescent="0.25">
      <c r="B21" t="s">
        <v>16</v>
      </c>
      <c r="C21" s="67">
        <v>5357</v>
      </c>
      <c r="D21" s="68">
        <v>21558</v>
      </c>
      <c r="E21" s="69">
        <f t="shared" ref="E21" si="7">SUM(C21:D21)</f>
        <v>26915</v>
      </c>
      <c r="H21" t="s">
        <v>16</v>
      </c>
      <c r="J21" s="84">
        <f>C21</f>
        <v>5357</v>
      </c>
      <c r="K21" s="84"/>
      <c r="L21" s="85">
        <f>D21</f>
        <v>21558</v>
      </c>
      <c r="M21" s="85"/>
      <c r="N21" s="86">
        <f t="shared" ref="N21:N23" si="8">SUM(J21:L21)</f>
        <v>26915</v>
      </c>
      <c r="O21" s="87"/>
    </row>
    <row r="22" spans="1:20" ht="12.75" customHeight="1" x14ac:dyDescent="0.25">
      <c r="B22" t="s">
        <v>17</v>
      </c>
      <c r="C22" s="67">
        <v>58922</v>
      </c>
      <c r="D22" s="68">
        <v>100063</v>
      </c>
      <c r="E22" s="69">
        <f>SUM(C22:D22)</f>
        <v>158985</v>
      </c>
      <c r="H22" t="s">
        <v>17</v>
      </c>
      <c r="J22" s="84">
        <f>C22</f>
        <v>58922</v>
      </c>
      <c r="K22" s="84"/>
      <c r="L22" s="85">
        <f>D22</f>
        <v>100063</v>
      </c>
      <c r="M22" s="85"/>
      <c r="N22" s="86">
        <f t="shared" si="8"/>
        <v>158985</v>
      </c>
      <c r="O22" s="87"/>
    </row>
    <row r="23" spans="1:20" ht="15.75" thickBot="1" x14ac:dyDescent="0.3">
      <c r="B23" s="88" t="s">
        <v>29</v>
      </c>
      <c r="C23" s="89">
        <v>0</v>
      </c>
      <c r="D23" s="90">
        <v>190967</v>
      </c>
      <c r="E23" s="91">
        <f>SUM(C23:D23)</f>
        <v>190967</v>
      </c>
      <c r="H23" s="88" t="s">
        <v>29</v>
      </c>
      <c r="I23" s="88"/>
      <c r="J23" s="92">
        <f>C23</f>
        <v>0</v>
      </c>
      <c r="K23" s="92"/>
      <c r="L23" s="93">
        <f>D23</f>
        <v>190967</v>
      </c>
      <c r="M23" s="93"/>
      <c r="N23" s="94">
        <f t="shared" si="8"/>
        <v>190967</v>
      </c>
      <c r="O23" s="87"/>
    </row>
    <row r="24" spans="1:20" x14ac:dyDescent="0.25">
      <c r="B24" t="s">
        <v>30</v>
      </c>
      <c r="C24" s="95">
        <f>SUM(C20:C23)</f>
        <v>160696</v>
      </c>
      <c r="D24" s="95">
        <f>SUM(D20:D23)</f>
        <v>474272</v>
      </c>
      <c r="E24" s="95">
        <f>SUM(C24:D24)</f>
        <v>634968</v>
      </c>
      <c r="H24" t="s">
        <v>30</v>
      </c>
      <c r="J24" s="84">
        <f>SUM(J20:J22)</f>
        <v>160696</v>
      </c>
      <c r="K24" s="84"/>
      <c r="L24" s="85">
        <f>SUM(L20:L23)</f>
        <v>474272</v>
      </c>
      <c r="M24" s="85"/>
      <c r="N24" s="86">
        <f>SUM(J24:L24)</f>
        <v>634968</v>
      </c>
      <c r="O24" s="87"/>
    </row>
    <row r="25" spans="1:20" ht="6.75" customHeight="1" x14ac:dyDescent="0.25">
      <c r="C25" s="95"/>
      <c r="D25" s="95"/>
      <c r="E25" s="95"/>
      <c r="J25" s="79"/>
      <c r="K25" s="79"/>
      <c r="L25" s="80"/>
      <c r="M25" s="80"/>
      <c r="N25" s="83"/>
      <c r="O25" s="81"/>
    </row>
    <row r="26" spans="1:20" x14ac:dyDescent="0.25">
      <c r="B26" t="s">
        <v>31</v>
      </c>
      <c r="C26" s="95">
        <v>5357</v>
      </c>
      <c r="D26" s="95">
        <f>12250+14697</f>
        <v>26947</v>
      </c>
      <c r="E26" s="95"/>
      <c r="H26" t="s">
        <v>31</v>
      </c>
      <c r="J26" s="84">
        <f>C26</f>
        <v>5357</v>
      </c>
      <c r="K26" s="84"/>
      <c r="L26" s="68">
        <f>D26</f>
        <v>26947</v>
      </c>
      <c r="M26" s="85"/>
      <c r="N26" s="86">
        <f>SUM(J26:L26)</f>
        <v>32304</v>
      </c>
      <c r="O26" s="87"/>
    </row>
    <row r="27" spans="1:20" x14ac:dyDescent="0.25">
      <c r="B27" t="s">
        <v>32</v>
      </c>
      <c r="C27" s="95">
        <v>12498</v>
      </c>
      <c r="D27" s="95">
        <f>17150+20576</f>
        <v>37726</v>
      </c>
      <c r="E27" s="95"/>
      <c r="H27" t="s">
        <v>32</v>
      </c>
      <c r="J27" s="84">
        <f>C27</f>
        <v>12498</v>
      </c>
      <c r="K27" s="84"/>
      <c r="L27" s="68">
        <f>D27</f>
        <v>37726</v>
      </c>
      <c r="M27" s="85"/>
      <c r="N27" s="86">
        <f>SUM(J27:L27)</f>
        <v>50224</v>
      </c>
      <c r="O27" s="87"/>
    </row>
    <row r="28" spans="1:20" ht="7.5" customHeight="1" x14ac:dyDescent="0.25">
      <c r="J28" s="84"/>
      <c r="K28" s="84"/>
      <c r="L28" s="85"/>
      <c r="M28" s="85"/>
      <c r="N28" s="83"/>
      <c r="O28" s="81"/>
    </row>
    <row r="29" spans="1:20" ht="15.75" thickBot="1" x14ac:dyDescent="0.3">
      <c r="A29" s="96"/>
      <c r="B29" s="97" t="s">
        <v>33</v>
      </c>
      <c r="C29" s="98">
        <f>C24+C26+C27</f>
        <v>178551</v>
      </c>
      <c r="D29" s="98">
        <f>D24+D26+D27</f>
        <v>538945</v>
      </c>
      <c r="G29" s="96"/>
      <c r="H29" s="97" t="s">
        <v>33</v>
      </c>
      <c r="I29" s="97"/>
      <c r="J29" s="99">
        <f>J24+J26+J27</f>
        <v>178551</v>
      </c>
      <c r="K29" s="99"/>
      <c r="L29" s="100">
        <f>L24+L26+L27</f>
        <v>538945</v>
      </c>
      <c r="M29" s="100"/>
      <c r="N29" s="101">
        <f>N24+N26+N27</f>
        <v>717496</v>
      </c>
      <c r="O29" s="102"/>
    </row>
    <row r="30" spans="1:20" ht="15.75" thickTop="1" x14ac:dyDescent="0.25"/>
    <row r="31" spans="1:20" x14ac:dyDescent="0.25">
      <c r="A31" s="175" t="s">
        <v>34</v>
      </c>
      <c r="B31" s="175"/>
      <c r="C31" s="103">
        <v>181984</v>
      </c>
      <c r="D31" s="103">
        <v>538945</v>
      </c>
      <c r="E31" s="103">
        <f>C31+D31</f>
        <v>720929</v>
      </c>
    </row>
  </sheetData>
  <mergeCells count="7">
    <mergeCell ref="A31:B31"/>
    <mergeCell ref="Q1:U1"/>
    <mergeCell ref="J2:K2"/>
    <mergeCell ref="L2:M2"/>
    <mergeCell ref="N2:O2"/>
    <mergeCell ref="A18:A20"/>
    <mergeCell ref="G18:G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2352-ADC1-4E25-B837-EEB2D506C949}">
  <dimension ref="A1:Q23"/>
  <sheetViews>
    <sheetView workbookViewId="0">
      <selection activeCell="B9" sqref="B9"/>
    </sheetView>
  </sheetViews>
  <sheetFormatPr defaultRowHeight="15" x14ac:dyDescent="0.25"/>
  <cols>
    <col min="1" max="1" width="17.5703125" customWidth="1"/>
    <col min="2" max="2" width="12.5703125" customWidth="1"/>
    <col min="4" max="7" width="10.7109375" customWidth="1"/>
    <col min="8" max="8" width="11" customWidth="1"/>
    <col min="9" max="9" width="30" customWidth="1"/>
    <col min="10" max="10" width="10" customWidth="1"/>
    <col min="11" max="11" width="5.7109375" customWidth="1"/>
    <col min="12" max="12" width="1" customWidth="1"/>
    <col min="13" max="13" width="30" customWidth="1"/>
    <col min="14" max="14" width="9.85546875" customWidth="1"/>
    <col min="15" max="15" width="1.5703125" customWidth="1"/>
    <col min="16" max="16" width="28.140625" customWidth="1"/>
  </cols>
  <sheetData>
    <row r="1" spans="1:17" ht="18.75" x14ac:dyDescent="0.3">
      <c r="A1" s="1" t="s">
        <v>35</v>
      </c>
    </row>
    <row r="3" spans="1:17" ht="63.75" thickBot="1" x14ac:dyDescent="0.3">
      <c r="A3" s="70" t="s">
        <v>4</v>
      </c>
      <c r="B3" s="70" t="s">
        <v>5</v>
      </c>
      <c r="C3" s="104" t="s">
        <v>9</v>
      </c>
      <c r="D3" s="105" t="s">
        <v>36</v>
      </c>
      <c r="E3" s="106" t="s">
        <v>37</v>
      </c>
      <c r="F3" s="107" t="s">
        <v>38</v>
      </c>
      <c r="G3" s="107" t="s">
        <v>39</v>
      </c>
      <c r="H3" s="108" t="s">
        <v>40</v>
      </c>
      <c r="I3" s="70" t="s">
        <v>41</v>
      </c>
      <c r="J3" s="108" t="s">
        <v>42</v>
      </c>
      <c r="L3" s="109"/>
      <c r="M3" s="70" t="s">
        <v>43</v>
      </c>
      <c r="N3" s="108" t="s">
        <v>42</v>
      </c>
      <c r="O3" s="109"/>
      <c r="P3" s="70" t="s">
        <v>44</v>
      </c>
    </row>
    <row r="4" spans="1:17" ht="30" customHeight="1" x14ac:dyDescent="0.25">
      <c r="A4" s="110" t="s">
        <v>15</v>
      </c>
      <c r="B4" s="111" t="s">
        <v>16</v>
      </c>
      <c r="C4" s="112">
        <f>'[1]Score Totals'!$P$21</f>
        <v>0.95903954802259883</v>
      </c>
      <c r="D4" s="113">
        <v>5460</v>
      </c>
      <c r="E4" s="19">
        <v>5460</v>
      </c>
      <c r="F4" s="114">
        <v>5357</v>
      </c>
      <c r="G4" s="115">
        <f>F4/$A$20</f>
        <v>3.000263230113525E-2</v>
      </c>
      <c r="H4" s="75">
        <f>D4/$A$20</f>
        <v>3.0579498294604903E-2</v>
      </c>
      <c r="I4" s="116">
        <f>SUMIF(B4:B11,"ES",D4:D11)+SUMIF(B4:B11,"Outreach",D4:D11)</f>
        <v>185660</v>
      </c>
      <c r="J4" s="75">
        <f>I4/$A$20</f>
        <v>1.0398149548308326</v>
      </c>
      <c r="L4" s="109"/>
      <c r="M4" s="116">
        <f>SUMIF(B4:B11,"Prevention",D4:D11)</f>
        <v>90055</v>
      </c>
      <c r="N4" s="117">
        <f>M4/$A$20</f>
        <v>0.5043656994360155</v>
      </c>
      <c r="O4" s="109"/>
      <c r="P4" s="116">
        <f>SUM(D4:D11)</f>
        <v>275715</v>
      </c>
    </row>
    <row r="5" spans="1:17" ht="30" x14ac:dyDescent="0.25">
      <c r="A5" s="118" t="s">
        <v>15</v>
      </c>
      <c r="B5" s="29" t="s">
        <v>18</v>
      </c>
      <c r="C5" s="119">
        <f>'[1]Score Totals'!$F$21</f>
        <v>0.95338983050847448</v>
      </c>
      <c r="D5" s="120">
        <v>30000</v>
      </c>
      <c r="E5" s="32">
        <v>26211</v>
      </c>
      <c r="F5" s="114">
        <v>26211</v>
      </c>
      <c r="G5" s="115">
        <f>F5/$A$20</f>
        <v>0.14679839373624343</v>
      </c>
      <c r="H5" s="75">
        <f t="shared" ref="H5:H11" si="0">D5/$A$20</f>
        <v>0.16801922139892803</v>
      </c>
      <c r="I5" t="s">
        <v>45</v>
      </c>
      <c r="L5" s="109"/>
      <c r="M5" t="s">
        <v>45</v>
      </c>
      <c r="O5" s="109"/>
      <c r="P5" s="121" t="s">
        <v>45</v>
      </c>
    </row>
    <row r="6" spans="1:17" ht="30" customHeight="1" x14ac:dyDescent="0.25">
      <c r="A6" s="118" t="s">
        <v>19</v>
      </c>
      <c r="B6" s="29" t="s">
        <v>17</v>
      </c>
      <c r="C6" s="119">
        <f>'[1]Score Totals'!$M$21</f>
        <v>0.80598958333333337</v>
      </c>
      <c r="D6" s="120">
        <v>60055</v>
      </c>
      <c r="E6" s="32">
        <v>60055</v>
      </c>
      <c r="F6" s="114">
        <v>58922</v>
      </c>
      <c r="G6" s="115">
        <f t="shared" ref="G6:G11" si="1">F6/$A$20</f>
        <v>0.33000095210892127</v>
      </c>
      <c r="H6" s="75">
        <f t="shared" si="0"/>
        <v>0.33634647803708745</v>
      </c>
      <c r="I6" s="116">
        <v>101774</v>
      </c>
      <c r="J6" s="117">
        <f>I6/$A$20</f>
        <v>0.56999960795515003</v>
      </c>
      <c r="K6" s="116"/>
      <c r="L6" s="109"/>
      <c r="M6" s="116">
        <v>58922</v>
      </c>
      <c r="N6" s="117">
        <f>M6/$A$20</f>
        <v>0.33000095210892127</v>
      </c>
      <c r="O6" s="109"/>
      <c r="P6" s="116">
        <v>160696</v>
      </c>
    </row>
    <row r="7" spans="1:17" ht="30" customHeight="1" x14ac:dyDescent="0.25">
      <c r="A7" s="118" t="s">
        <v>20</v>
      </c>
      <c r="B7" s="29" t="s">
        <v>18</v>
      </c>
      <c r="C7" s="119">
        <f>'[1]Score Totals'!$H$21</f>
        <v>0.93220338983050832</v>
      </c>
      <c r="D7" s="120">
        <v>26676</v>
      </c>
      <c r="E7" s="32">
        <v>0</v>
      </c>
      <c r="F7" s="114">
        <v>0</v>
      </c>
      <c r="G7" s="115">
        <f t="shared" si="1"/>
        <v>0</v>
      </c>
      <c r="H7" s="75">
        <f t="shared" si="0"/>
        <v>0.1494026916679268</v>
      </c>
      <c r="I7" t="s">
        <v>46</v>
      </c>
      <c r="K7" s="116"/>
      <c r="L7" s="109"/>
      <c r="M7" t="s">
        <v>47</v>
      </c>
      <c r="O7" s="109"/>
    </row>
    <row r="8" spans="1:17" ht="30" customHeight="1" x14ac:dyDescent="0.25">
      <c r="A8" s="118" t="s">
        <v>21</v>
      </c>
      <c r="B8" s="29" t="s">
        <v>18</v>
      </c>
      <c r="C8" s="119">
        <f>'[1]Score Totals'!$I$21</f>
        <v>0.80084745762711862</v>
      </c>
      <c r="D8" s="120">
        <v>56784</v>
      </c>
      <c r="E8" s="32">
        <v>44229</v>
      </c>
      <c r="F8" s="114">
        <v>42375</v>
      </c>
      <c r="G8" s="115">
        <f t="shared" si="1"/>
        <v>0.23732715022598586</v>
      </c>
      <c r="H8" s="75">
        <f t="shared" si="0"/>
        <v>0.31802678226389097</v>
      </c>
      <c r="I8" s="116">
        <f>A20*J8</f>
        <v>107130.59999999999</v>
      </c>
      <c r="J8" s="117">
        <v>0.6</v>
      </c>
      <c r="K8" s="116"/>
      <c r="L8" s="109"/>
      <c r="M8" s="122" t="s">
        <v>48</v>
      </c>
      <c r="O8" s="109"/>
    </row>
    <row r="9" spans="1:17" ht="30" x14ac:dyDescent="0.25">
      <c r="A9" s="29" t="s">
        <v>49</v>
      </c>
      <c r="B9" s="29" t="s">
        <v>18</v>
      </c>
      <c r="C9" s="119">
        <f>'[1]Score Totals'!$J$21</f>
        <v>0.84887005649717506</v>
      </c>
      <c r="D9" s="120">
        <v>51740</v>
      </c>
      <c r="E9" s="32">
        <v>17831</v>
      </c>
      <c r="F9" s="114">
        <v>17831</v>
      </c>
      <c r="G9" s="115">
        <f t="shared" si="1"/>
        <v>9.9865024558809523E-2</v>
      </c>
      <c r="H9" s="75">
        <f t="shared" si="0"/>
        <v>0.28977715050601788</v>
      </c>
      <c r="I9" s="182" t="s">
        <v>50</v>
      </c>
      <c r="J9" s="182"/>
      <c r="L9" s="109"/>
      <c r="M9" s="182" t="s">
        <v>51</v>
      </c>
      <c r="N9" s="182"/>
      <c r="O9" s="109"/>
      <c r="P9" s="121" t="s">
        <v>52</v>
      </c>
    </row>
    <row r="10" spans="1:17" ht="30" x14ac:dyDescent="0.25">
      <c r="A10" s="123" t="s">
        <v>53</v>
      </c>
      <c r="B10" s="123" t="s">
        <v>17</v>
      </c>
      <c r="C10" s="124">
        <f>'[1]Score Totals'!$L$21</f>
        <v>0.81779661016949157</v>
      </c>
      <c r="D10" s="125">
        <v>30000</v>
      </c>
      <c r="E10" s="126">
        <v>0</v>
      </c>
      <c r="F10" s="127"/>
      <c r="G10" s="115">
        <f t="shared" si="1"/>
        <v>0</v>
      </c>
      <c r="H10" s="75">
        <f t="shared" si="0"/>
        <v>0.16801922139892803</v>
      </c>
      <c r="I10" s="116">
        <f>I4-I6</f>
        <v>83886</v>
      </c>
      <c r="J10" s="128" t="s">
        <v>54</v>
      </c>
      <c r="L10" s="109"/>
      <c r="M10" s="116">
        <f>M4-M6</f>
        <v>31133</v>
      </c>
      <c r="N10" s="128" t="s">
        <v>54</v>
      </c>
      <c r="O10" s="109"/>
      <c r="P10" s="82">
        <f>P4-P6</f>
        <v>115019</v>
      </c>
      <c r="Q10" t="s">
        <v>55</v>
      </c>
    </row>
    <row r="11" spans="1:17" ht="15.75" thickBot="1" x14ac:dyDescent="0.3">
      <c r="A11" s="129" t="s">
        <v>23</v>
      </c>
      <c r="B11" s="129" t="s">
        <v>18</v>
      </c>
      <c r="C11" s="130">
        <f>'[1]Score Totals'!$G$21</f>
        <v>0.84463276836158196</v>
      </c>
      <c r="D11" s="131">
        <v>15000</v>
      </c>
      <c r="E11" s="132">
        <v>10000</v>
      </c>
      <c r="F11" s="114">
        <v>10000</v>
      </c>
      <c r="G11" s="115">
        <f t="shared" si="1"/>
        <v>5.6006407132976013E-2</v>
      </c>
      <c r="H11" s="75">
        <f t="shared" si="0"/>
        <v>8.4009610699464013E-2</v>
      </c>
      <c r="I11" s="182" t="s">
        <v>56</v>
      </c>
      <c r="J11" s="182"/>
      <c r="L11" s="109"/>
      <c r="M11" s="182" t="s">
        <v>57</v>
      </c>
      <c r="N11" s="182"/>
      <c r="O11" s="109"/>
    </row>
    <row r="12" spans="1:17" x14ac:dyDescent="0.25">
      <c r="C12" s="104" t="s">
        <v>8</v>
      </c>
      <c r="D12" s="133">
        <f>SUM(D4:D11)</f>
        <v>275715</v>
      </c>
      <c r="E12" s="72">
        <f>SUM(E4:E11)</f>
        <v>163786</v>
      </c>
      <c r="F12" s="134"/>
      <c r="G12" s="134"/>
      <c r="I12" s="116">
        <f>I4-I8</f>
        <v>78529.400000000009</v>
      </c>
      <c r="L12" s="109"/>
      <c r="M12" s="122" t="s">
        <v>48</v>
      </c>
      <c r="O12" s="109"/>
    </row>
    <row r="13" spans="1:17" ht="21.75" customHeight="1" x14ac:dyDescent="0.25">
      <c r="F13" s="135">
        <f>SUM(F4:F11)</f>
        <v>160696</v>
      </c>
      <c r="G13" s="136">
        <f>SUM(G4:G11)</f>
        <v>0.90000056006407136</v>
      </c>
    </row>
    <row r="14" spans="1:17" x14ac:dyDescent="0.25">
      <c r="E14" t="s">
        <v>31</v>
      </c>
      <c r="F14" s="137">
        <f>G14*A20</f>
        <v>5356.53</v>
      </c>
      <c r="G14" s="75">
        <v>0.03</v>
      </c>
      <c r="I14" s="82"/>
    </row>
    <row r="15" spans="1:17" ht="4.5" customHeight="1" x14ac:dyDescent="0.25">
      <c r="F15" s="137"/>
    </row>
    <row r="16" spans="1:17" x14ac:dyDescent="0.25">
      <c r="E16" t="s">
        <v>32</v>
      </c>
      <c r="F16" s="137">
        <v>12498</v>
      </c>
      <c r="G16" s="75">
        <v>7.0000000000000007E-2</v>
      </c>
      <c r="I16" s="116"/>
      <c r="P16" s="116"/>
    </row>
    <row r="17" spans="1:14" ht="3.75" customHeight="1" x14ac:dyDescent="0.25">
      <c r="N17">
        <v>181593</v>
      </c>
    </row>
    <row r="18" spans="1:14" ht="15.75" thickBot="1" x14ac:dyDescent="0.3">
      <c r="E18" t="s">
        <v>8</v>
      </c>
      <c r="F18" s="138">
        <f>F13+F14+F16</f>
        <v>178550.53</v>
      </c>
      <c r="G18" s="117">
        <f>SUM(G4:G11)+G14+G16</f>
        <v>1.0000005600640713</v>
      </c>
      <c r="I18" s="139"/>
    </row>
    <row r="19" spans="1:14" x14ac:dyDescent="0.25">
      <c r="A19" s="140" t="s">
        <v>58</v>
      </c>
      <c r="E19" t="s">
        <v>59</v>
      </c>
      <c r="F19" s="138">
        <f>A20-F18</f>
        <v>0.47000000000116415</v>
      </c>
    </row>
    <row r="20" spans="1:14" ht="15.75" thickBot="1" x14ac:dyDescent="0.3">
      <c r="A20" s="141">
        <v>178551</v>
      </c>
      <c r="I20" s="139"/>
      <c r="K20" s="142"/>
    </row>
    <row r="21" spans="1:14" x14ac:dyDescent="0.25">
      <c r="A21" t="s">
        <v>60</v>
      </c>
      <c r="I21" s="139"/>
      <c r="K21" s="142"/>
    </row>
    <row r="22" spans="1:14" x14ac:dyDescent="0.25">
      <c r="A22" t="s">
        <v>61</v>
      </c>
    </row>
    <row r="23" spans="1:14" x14ac:dyDescent="0.25">
      <c r="A23" t="s">
        <v>62</v>
      </c>
    </row>
  </sheetData>
  <mergeCells count="4">
    <mergeCell ref="I9:J9"/>
    <mergeCell ref="M9:N9"/>
    <mergeCell ref="I11:J11"/>
    <mergeCell ref="M11:N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9320-855D-4989-89C4-50394797D3A6}">
  <dimension ref="A1:U32"/>
  <sheetViews>
    <sheetView tabSelected="1" workbookViewId="0">
      <selection activeCell="Q8" sqref="Q8"/>
    </sheetView>
  </sheetViews>
  <sheetFormatPr defaultRowHeight="15" x14ac:dyDescent="0.25"/>
  <cols>
    <col min="1" max="1" width="17.5703125" customWidth="1"/>
    <col min="2" max="2" width="12.28515625" customWidth="1"/>
    <col min="3" max="3" width="9.85546875" bestFit="1" customWidth="1"/>
    <col min="4" max="7" width="10.7109375" customWidth="1"/>
    <col min="8" max="8" width="10" customWidth="1"/>
    <col min="9" max="9" width="27.85546875" customWidth="1"/>
    <col min="11" max="11" width="6.5703125" customWidth="1"/>
    <col min="12" max="12" width="1.28515625" customWidth="1"/>
    <col min="13" max="13" width="27.7109375" customWidth="1"/>
    <col min="15" max="15" width="6.5703125" customWidth="1"/>
    <col min="16" max="16" width="1.28515625" customWidth="1"/>
    <col min="17" max="17" width="30" customWidth="1"/>
    <col min="20" max="20" width="1" customWidth="1"/>
    <col min="21" max="21" width="26.5703125" customWidth="1"/>
  </cols>
  <sheetData>
    <row r="1" spans="1:21" ht="18.75" x14ac:dyDescent="0.3">
      <c r="A1" s="1" t="s">
        <v>63</v>
      </c>
    </row>
    <row r="2" spans="1:21" ht="9" customHeight="1" x14ac:dyDescent="0.25"/>
    <row r="3" spans="1:21" ht="63" x14ac:dyDescent="0.25">
      <c r="A3" s="9" t="s">
        <v>4</v>
      </c>
      <c r="B3" s="9" t="s">
        <v>5</v>
      </c>
      <c r="C3" s="9" t="s">
        <v>9</v>
      </c>
      <c r="D3" s="143" t="s">
        <v>64</v>
      </c>
      <c r="E3" s="144" t="s">
        <v>37</v>
      </c>
      <c r="F3" s="107" t="s">
        <v>38</v>
      </c>
      <c r="G3" s="107" t="s">
        <v>39</v>
      </c>
      <c r="H3" s="108" t="s">
        <v>40</v>
      </c>
      <c r="I3" s="70" t="s">
        <v>65</v>
      </c>
      <c r="L3" s="145"/>
      <c r="M3" s="70" t="s">
        <v>66</v>
      </c>
      <c r="N3" s="146"/>
      <c r="O3" s="146"/>
      <c r="P3" s="145"/>
      <c r="Q3" s="108" t="s">
        <v>67</v>
      </c>
      <c r="T3" s="109"/>
      <c r="U3" s="70" t="s">
        <v>44</v>
      </c>
    </row>
    <row r="4" spans="1:21" ht="30" customHeight="1" x14ac:dyDescent="0.25">
      <c r="A4" s="13" t="s">
        <v>68</v>
      </c>
      <c r="B4" s="13" t="s">
        <v>18</v>
      </c>
      <c r="C4" s="17">
        <f>'[1]Score Totals'!$F$21</f>
        <v>0.95338983050847448</v>
      </c>
      <c r="D4" s="22">
        <v>50000</v>
      </c>
      <c r="E4" s="19">
        <f>37705+5411</f>
        <v>43116</v>
      </c>
      <c r="F4" s="114">
        <v>43116</v>
      </c>
      <c r="G4" s="115">
        <f>F4/$A$29</f>
        <v>8.0000742190761587E-2</v>
      </c>
      <c r="H4" s="75">
        <f>D4/$A$29</f>
        <v>9.2773845197561905E-2</v>
      </c>
      <c r="I4" s="116">
        <f>SUMIF(B4:B13,"ES",D4:D13)</f>
        <v>288741</v>
      </c>
      <c r="J4" s="117">
        <f>I4/$A$29</f>
        <v>0.53575225672378446</v>
      </c>
      <c r="L4" s="145"/>
      <c r="M4" s="116">
        <f>SUMIF(B4:B13,"Outreach",D4:D13)</f>
        <v>21650</v>
      </c>
      <c r="N4" s="117">
        <f>M4/$A$29</f>
        <v>4.0171074970544306E-2</v>
      </c>
      <c r="O4" s="146"/>
      <c r="P4" s="145"/>
      <c r="Q4" s="116">
        <f>SUMIF(B4:B13,"Rapid Rehousing",D4:D13)+SUMIF(B4:B13,"Prevention",D4:D13)</f>
        <v>412651</v>
      </c>
      <c r="R4" s="117">
        <f>Q4/$A$29</f>
        <v>0.76566439989238233</v>
      </c>
      <c r="T4" s="109"/>
      <c r="U4" s="116">
        <f>SUM(D4:D13)</f>
        <v>723042</v>
      </c>
    </row>
    <row r="5" spans="1:21" ht="30" x14ac:dyDescent="0.25">
      <c r="A5" s="13" t="s">
        <v>19</v>
      </c>
      <c r="B5" s="13" t="s">
        <v>17</v>
      </c>
      <c r="C5" s="17">
        <f>'[1]Score Totals'!$M$21</f>
        <v>0.80598958333333337</v>
      </c>
      <c r="D5" s="22">
        <v>91621</v>
      </c>
      <c r="E5" s="19">
        <v>0</v>
      </c>
      <c r="F5" s="114">
        <v>0</v>
      </c>
      <c r="G5" s="115">
        <f t="shared" ref="G5:G13" si="0">F5/$A$29</f>
        <v>0</v>
      </c>
      <c r="H5" s="75">
        <f t="shared" ref="H5:H13" si="1">D5/$A$29</f>
        <v>0.17000064941691639</v>
      </c>
      <c r="I5" t="s">
        <v>45</v>
      </c>
      <c r="L5" s="145"/>
      <c r="M5" t="s">
        <v>45</v>
      </c>
      <c r="P5" s="145"/>
      <c r="Q5" t="s">
        <v>45</v>
      </c>
      <c r="T5" s="109"/>
      <c r="U5" s="128" t="s">
        <v>45</v>
      </c>
    </row>
    <row r="6" spans="1:21" ht="30" customHeight="1" x14ac:dyDescent="0.25">
      <c r="A6" s="13" t="s">
        <v>20</v>
      </c>
      <c r="B6" s="13" t="s">
        <v>18</v>
      </c>
      <c r="C6" s="17">
        <f>'[1]Score Totals'!$H$21</f>
        <v>0.93220338983050832</v>
      </c>
      <c r="D6" s="147">
        <v>80000</v>
      </c>
      <c r="E6" s="148">
        <f>32526+455+20914</f>
        <v>53895</v>
      </c>
      <c r="F6" s="114">
        <v>53895</v>
      </c>
      <c r="G6" s="115">
        <f t="shared" si="0"/>
        <v>0.10000092773845197</v>
      </c>
      <c r="H6" s="75">
        <f t="shared" si="1"/>
        <v>0.14843815231609905</v>
      </c>
      <c r="I6" s="116">
        <v>161684</v>
      </c>
      <c r="J6" s="117">
        <v>0.3</v>
      </c>
      <c r="L6" s="145"/>
      <c r="M6" s="116">
        <v>21558</v>
      </c>
      <c r="N6" s="117">
        <f>M6/$A$29</f>
        <v>4.0000371095380793E-2</v>
      </c>
      <c r="P6" s="145"/>
      <c r="Q6" s="116">
        <v>291030</v>
      </c>
      <c r="R6" s="117">
        <f>Q6/$A$29</f>
        <v>0.53999944335692884</v>
      </c>
      <c r="S6" s="116"/>
      <c r="T6" s="109"/>
      <c r="U6" s="116">
        <v>474272</v>
      </c>
    </row>
    <row r="7" spans="1:21" ht="30" customHeight="1" x14ac:dyDescent="0.25">
      <c r="A7" s="29" t="s">
        <v>21</v>
      </c>
      <c r="B7" s="29" t="s">
        <v>18</v>
      </c>
      <c r="C7" s="30">
        <f>'[1]Score Totals'!$I$21</f>
        <v>0.80084745762711862</v>
      </c>
      <c r="D7" s="33">
        <v>101376</v>
      </c>
      <c r="E7" s="32">
        <f>48505</f>
        <v>48505</v>
      </c>
      <c r="F7" s="114">
        <v>48505</v>
      </c>
      <c r="G7" s="115">
        <f t="shared" si="0"/>
        <v>8.9999907226154807E-2</v>
      </c>
      <c r="H7" s="75">
        <f t="shared" si="1"/>
        <v>0.18810082661496072</v>
      </c>
      <c r="I7" t="s">
        <v>69</v>
      </c>
      <c r="K7" s="116"/>
      <c r="L7" s="145"/>
      <c r="M7" t="s">
        <v>70</v>
      </c>
      <c r="O7" s="116"/>
      <c r="P7" s="145"/>
      <c r="Q7" t="s">
        <v>71</v>
      </c>
      <c r="T7" s="109"/>
    </row>
    <row r="8" spans="1:21" ht="30" customHeight="1" x14ac:dyDescent="0.25">
      <c r="A8" s="40" t="s">
        <v>72</v>
      </c>
      <c r="B8" s="40" t="s">
        <v>16</v>
      </c>
      <c r="C8" s="30">
        <f>'[1]Score Totals'!$O$21</f>
        <v>0.77683615819209029</v>
      </c>
      <c r="D8" s="33">
        <v>21650</v>
      </c>
      <c r="E8" s="32">
        <v>0</v>
      </c>
      <c r="F8" s="114">
        <v>21558</v>
      </c>
      <c r="G8" s="115">
        <f t="shared" si="0"/>
        <v>4.0000371095380793E-2</v>
      </c>
      <c r="H8" s="75">
        <f t="shared" si="1"/>
        <v>4.0171074970544306E-2</v>
      </c>
      <c r="I8" s="116">
        <f>A29*J8</f>
        <v>161683.5</v>
      </c>
      <c r="J8" s="117">
        <v>0.3</v>
      </c>
      <c r="K8" s="116"/>
      <c r="L8" s="145"/>
      <c r="M8" s="122" t="s">
        <v>48</v>
      </c>
      <c r="N8" s="117"/>
      <c r="O8" s="116"/>
      <c r="P8" s="145"/>
      <c r="Q8" s="122" t="s">
        <v>48</v>
      </c>
      <c r="R8" s="117"/>
      <c r="T8" s="109"/>
    </row>
    <row r="9" spans="1:21" ht="30" x14ac:dyDescent="0.25">
      <c r="A9" s="40" t="s">
        <v>72</v>
      </c>
      <c r="B9" s="149" t="s">
        <v>29</v>
      </c>
      <c r="C9" s="150">
        <f>'[1]Score Totals'!$N$21</f>
        <v>0.76302083333333337</v>
      </c>
      <c r="D9" s="33">
        <v>199409</v>
      </c>
      <c r="E9" s="32">
        <f>199409</f>
        <v>199409</v>
      </c>
      <c r="F9" s="114">
        <v>190967</v>
      </c>
      <c r="G9" s="115">
        <f t="shared" si="0"/>
        <v>0.35433485791685609</v>
      </c>
      <c r="H9" s="75">
        <f t="shared" si="1"/>
        <v>0.36999879394001245</v>
      </c>
      <c r="I9" s="182" t="s">
        <v>73</v>
      </c>
      <c r="J9" s="182"/>
      <c r="K9" s="116"/>
      <c r="L9" s="145"/>
      <c r="M9" s="182" t="s">
        <v>73</v>
      </c>
      <c r="N9" s="182"/>
      <c r="O9" s="116"/>
      <c r="P9" s="145"/>
      <c r="Q9" s="182" t="s">
        <v>50</v>
      </c>
      <c r="R9" s="182"/>
      <c r="T9" s="109"/>
      <c r="U9" s="128" t="s">
        <v>74</v>
      </c>
    </row>
    <row r="10" spans="1:21" ht="30" customHeight="1" x14ac:dyDescent="0.25">
      <c r="A10" s="151" t="s">
        <v>72</v>
      </c>
      <c r="B10" s="151" t="s">
        <v>17</v>
      </c>
      <c r="C10" s="152">
        <f>'[1]Score Totals'!$K$21</f>
        <v>0.74348958333333337</v>
      </c>
      <c r="D10" s="153">
        <v>91621</v>
      </c>
      <c r="E10" s="126">
        <f>38174+4000+49447</f>
        <v>91621</v>
      </c>
      <c r="F10" s="114">
        <v>80063</v>
      </c>
      <c r="G10" s="115">
        <f t="shared" si="0"/>
        <v>0.14855504736104796</v>
      </c>
      <c r="H10" s="75">
        <f t="shared" si="1"/>
        <v>0.17000064941691639</v>
      </c>
      <c r="I10" s="116">
        <f>I4-I6</f>
        <v>127057</v>
      </c>
      <c r="J10" t="s">
        <v>75</v>
      </c>
      <c r="L10" s="145"/>
      <c r="M10" s="116">
        <f>M4-M6</f>
        <v>92</v>
      </c>
      <c r="N10" t="s">
        <v>75</v>
      </c>
      <c r="P10" s="145"/>
      <c r="Q10" s="116">
        <f>Q4-Q6</f>
        <v>121621</v>
      </c>
      <c r="R10" t="s">
        <v>75</v>
      </c>
      <c r="T10" s="109"/>
      <c r="U10" s="116">
        <f>U4-U6</f>
        <v>248770</v>
      </c>
    </row>
    <row r="11" spans="1:21" ht="30" customHeight="1" x14ac:dyDescent="0.25">
      <c r="A11" s="29" t="s">
        <v>49</v>
      </c>
      <c r="B11" s="29" t="s">
        <v>18</v>
      </c>
      <c r="C11" s="154">
        <f>'[1]Score Totals'!$J$21</f>
        <v>0.84887005649717506</v>
      </c>
      <c r="D11" s="155">
        <v>57365</v>
      </c>
      <c r="E11" s="156">
        <f>1737+2500+2000+8931+1000</f>
        <v>16168</v>
      </c>
      <c r="F11" s="114">
        <v>16168</v>
      </c>
      <c r="G11" s="115">
        <f t="shared" si="0"/>
        <v>2.9999350583083617E-2</v>
      </c>
      <c r="H11" s="75">
        <f t="shared" si="1"/>
        <v>0.10643943259516277</v>
      </c>
      <c r="I11" s="116">
        <f>I4-I8</f>
        <v>127057.5</v>
      </c>
      <c r="J11" t="s">
        <v>75</v>
      </c>
      <c r="L11" s="145"/>
      <c r="M11" s="122" t="s">
        <v>48</v>
      </c>
      <c r="P11" s="145"/>
      <c r="Q11" s="122" t="s">
        <v>48</v>
      </c>
      <c r="T11" s="109"/>
    </row>
    <row r="12" spans="1:21" ht="30" x14ac:dyDescent="0.25">
      <c r="A12" s="157" t="s">
        <v>25</v>
      </c>
      <c r="B12" t="s">
        <v>16</v>
      </c>
      <c r="C12" s="158" t="s">
        <v>26</v>
      </c>
      <c r="D12" s="159">
        <v>0</v>
      </c>
      <c r="E12" s="160">
        <v>21558</v>
      </c>
      <c r="F12" s="127"/>
      <c r="G12" s="115">
        <f t="shared" si="0"/>
        <v>0</v>
      </c>
      <c r="H12" s="75">
        <f t="shared" si="1"/>
        <v>0</v>
      </c>
      <c r="I12" s="116" t="s">
        <v>76</v>
      </c>
      <c r="L12" s="145"/>
      <c r="M12" s="116"/>
      <c r="P12" s="145"/>
      <c r="Q12" s="161" t="s">
        <v>77</v>
      </c>
      <c r="T12" s="109"/>
    </row>
    <row r="13" spans="1:21" ht="15.75" thickBot="1" x14ac:dyDescent="0.3">
      <c r="A13" s="129" t="s">
        <v>53</v>
      </c>
      <c r="B13" s="129" t="s">
        <v>17</v>
      </c>
      <c r="C13" s="162">
        <f>'[1]Score Totals'!$L$21</f>
        <v>0.81779661016949157</v>
      </c>
      <c r="D13" s="163">
        <v>30000</v>
      </c>
      <c r="E13" s="132">
        <v>0</v>
      </c>
      <c r="F13" s="164">
        <v>20000</v>
      </c>
      <c r="G13" s="115">
        <f t="shared" si="0"/>
        <v>3.7109538079024763E-2</v>
      </c>
      <c r="H13" s="75">
        <f t="shared" si="1"/>
        <v>5.5664307118537142E-2</v>
      </c>
      <c r="I13" s="116">
        <f>SUMIF(B4:B13,"ES",F4:F13)</f>
        <v>161684</v>
      </c>
      <c r="L13" s="109"/>
      <c r="P13" s="109"/>
      <c r="Q13" s="116">
        <f>SUMIF(B4:B13,"Rapid Rehousing",F4:F13)+SUMIF(B4:B13,"Prevention",F4:F13)</f>
        <v>291030</v>
      </c>
      <c r="T13" s="109"/>
    </row>
    <row r="14" spans="1:21" x14ac:dyDescent="0.25">
      <c r="C14" s="70" t="s">
        <v>8</v>
      </c>
      <c r="D14" s="73">
        <f>SUM(D4:D13)</f>
        <v>723042</v>
      </c>
      <c r="E14" s="72">
        <f>SUM(E4:E13)</f>
        <v>474272</v>
      </c>
      <c r="F14" s="137"/>
      <c r="G14" s="75"/>
    </row>
    <row r="15" spans="1:21" x14ac:dyDescent="0.25">
      <c r="F15" s="135">
        <f>SUM(F4:F13)</f>
        <v>474272</v>
      </c>
      <c r="G15" s="136">
        <f>SUM(G6:G13)</f>
        <v>0.8</v>
      </c>
    </row>
    <row r="16" spans="1:21" x14ac:dyDescent="0.25">
      <c r="E16" t="s">
        <v>31</v>
      </c>
      <c r="F16" s="103">
        <v>26947</v>
      </c>
      <c r="G16" s="75">
        <v>0.03</v>
      </c>
    </row>
    <row r="17" spans="1:7" x14ac:dyDescent="0.25">
      <c r="E17" t="s">
        <v>32</v>
      </c>
      <c r="F17" s="103">
        <v>37726</v>
      </c>
      <c r="G17" s="75">
        <v>7.0000000000000007E-2</v>
      </c>
    </row>
    <row r="18" spans="1:7" x14ac:dyDescent="0.25">
      <c r="E18" t="s">
        <v>8</v>
      </c>
      <c r="F18" s="103">
        <f>F15+F16+F17</f>
        <v>538945</v>
      </c>
      <c r="G18" s="117">
        <f>SUM(G6:G13)+G16+G17</f>
        <v>0.90000000000000013</v>
      </c>
    </row>
    <row r="19" spans="1:7" x14ac:dyDescent="0.25">
      <c r="E19" t="s">
        <v>59</v>
      </c>
      <c r="F19" s="82">
        <f>A29-F18</f>
        <v>0</v>
      </c>
    </row>
    <row r="21" spans="1:7" ht="30.75" customHeight="1" x14ac:dyDescent="0.25">
      <c r="A21" s="186" t="s">
        <v>78</v>
      </c>
      <c r="B21" s="187"/>
      <c r="C21" s="165">
        <v>70063</v>
      </c>
      <c r="D21" s="166"/>
      <c r="E21" s="167"/>
    </row>
    <row r="22" spans="1:7" ht="30" customHeight="1" x14ac:dyDescent="0.25">
      <c r="A22" s="188" t="s">
        <v>79</v>
      </c>
      <c r="B22" s="189"/>
      <c r="C22" s="168">
        <v>145515</v>
      </c>
      <c r="D22" s="169"/>
      <c r="E22" s="170"/>
    </row>
    <row r="23" spans="1:7" ht="34.5" customHeight="1" x14ac:dyDescent="0.25">
      <c r="A23" s="190" t="s">
        <v>80</v>
      </c>
      <c r="B23" s="191"/>
      <c r="C23" s="171">
        <v>75452</v>
      </c>
      <c r="D23" s="172"/>
      <c r="E23" s="173"/>
    </row>
    <row r="24" spans="1:7" ht="48.75" customHeight="1" x14ac:dyDescent="0.25">
      <c r="A24" s="183" t="s">
        <v>81</v>
      </c>
      <c r="B24" s="184"/>
      <c r="C24" s="184"/>
      <c r="D24" s="184"/>
      <c r="E24" s="185"/>
    </row>
    <row r="27" spans="1:7" ht="15.75" thickBot="1" x14ac:dyDescent="0.3"/>
    <row r="28" spans="1:7" x14ac:dyDescent="0.25">
      <c r="A28" s="140" t="s">
        <v>58</v>
      </c>
    </row>
    <row r="29" spans="1:7" ht="15.75" thickBot="1" x14ac:dyDescent="0.3">
      <c r="A29" s="174">
        <v>538945</v>
      </c>
    </row>
    <row r="30" spans="1:7" x14ac:dyDescent="0.25">
      <c r="A30" t="s">
        <v>82</v>
      </c>
    </row>
    <row r="31" spans="1:7" x14ac:dyDescent="0.25">
      <c r="A31" t="s">
        <v>83</v>
      </c>
    </row>
    <row r="32" spans="1:7" x14ac:dyDescent="0.25">
      <c r="A32" t="s">
        <v>62</v>
      </c>
    </row>
  </sheetData>
  <mergeCells count="7">
    <mergeCell ref="A24:E24"/>
    <mergeCell ref="I9:J9"/>
    <mergeCell ref="M9:N9"/>
    <mergeCell ref="Q9:R9"/>
    <mergeCell ref="A21:B21"/>
    <mergeCell ref="A22:B22"/>
    <mergeCell ref="A23:B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81B5EB99AB764EA912722AC2F7CF3D" ma:contentTypeVersion="19" ma:contentTypeDescription="Create a new document." ma:contentTypeScope="" ma:versionID="f837e224b2c64a5d498d164b44593824">
  <xsd:schema xmlns:xsd="http://www.w3.org/2001/XMLSchema" xmlns:xs="http://www.w3.org/2001/XMLSchema" xmlns:p="http://schemas.microsoft.com/office/2006/metadata/properties" xmlns:ns2="b3f61dbb-2350-4a68-9041-58e3f513563f" xmlns:ns3="d4a54cb0-70a5-4aa6-ba3e-ce164524613f" targetNamespace="http://schemas.microsoft.com/office/2006/metadata/properties" ma:root="true" ma:fieldsID="6c08a678fc7be0a41e29ff1b979cb790" ns2:_="" ns3:_="">
    <xsd:import namespace="b3f61dbb-2350-4a68-9041-58e3f513563f"/>
    <xsd:import namespace="d4a54cb0-70a5-4aa6-ba3e-ce1645246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61dbb-2350-4a68-9041-58e3f51356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51c547-16fa-4c2e-959d-5f503a063294}" ma:internalName="TaxCatchAll" ma:showField="CatchAllData" ma:web="b3f61dbb-2350-4a68-9041-58e3f51356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54cb0-70a5-4aa6-ba3e-ce1645246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c6126a-d6e6-43f8-a2fa-ef87545b49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a54cb0-70a5-4aa6-ba3e-ce164524613f">
      <Terms xmlns="http://schemas.microsoft.com/office/infopath/2007/PartnerControls"/>
    </lcf76f155ced4ddcb4097134ff3c332f>
    <TaxCatchAll xmlns="b3f61dbb-2350-4a68-9041-58e3f513563f" xsi:nil="true"/>
  </documentManagement>
</p:properties>
</file>

<file path=customXml/itemProps1.xml><?xml version="1.0" encoding="utf-8"?>
<ds:datastoreItem xmlns:ds="http://schemas.openxmlformats.org/officeDocument/2006/customXml" ds:itemID="{FB5E3C32-9B43-4146-9296-177A34D596E7}"/>
</file>

<file path=customXml/itemProps2.xml><?xml version="1.0" encoding="utf-8"?>
<ds:datastoreItem xmlns:ds="http://schemas.openxmlformats.org/officeDocument/2006/customXml" ds:itemID="{E242394C-E69F-4FAD-9DE8-7BDB335760F3}"/>
</file>

<file path=customXml/itemProps3.xml><?xml version="1.0" encoding="utf-8"?>
<ds:datastoreItem xmlns:ds="http://schemas.openxmlformats.org/officeDocument/2006/customXml" ds:itemID="{EB37E3E9-F0BC-40BC-9B0D-2061159B1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 Recommendations</vt:lpstr>
      <vt:lpstr>City Recommendation</vt:lpstr>
      <vt:lpstr>MSHDA Recommendation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Daniel</dc:creator>
  <cp:lastModifiedBy>Witherspoon, Doris</cp:lastModifiedBy>
  <dcterms:created xsi:type="dcterms:W3CDTF">2025-05-22T17:47:35Z</dcterms:created>
  <dcterms:modified xsi:type="dcterms:W3CDTF">2025-06-05T18:13:05Z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0x0101009381B5EB99AB764EA912722AC2F7CF3D</vt:lpwstr>
  </property>
</Properties>
</file>